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1"/>
  <workbookPr showInkAnnotation="0" updateLinks="never" codeName="ThisWorkbook" defaultThemeVersion="124226"/>
  <mc:AlternateContent xmlns:mc="http://schemas.openxmlformats.org/markup-compatibility/2006">
    <mc:Choice Requires="x15">
      <x15ac:absPath xmlns:x15ac="http://schemas.microsoft.com/office/spreadsheetml/2010/11/ac" url="/Users/yazan/Library/Containers/net.whatsapp.WhatsApp/Data/tmp/documents/452BA55F-2296-46B1-B6F0-BBAE55E94A42/"/>
    </mc:Choice>
  </mc:AlternateContent>
  <xr:revisionPtr revIDLastSave="0" documentId="13_ncr:1_{5ABF6DB4-24D8-D747-8123-4B5A9D5781B4}" xr6:coauthVersionLast="47" xr6:coauthVersionMax="47" xr10:uidLastSave="{00000000-0000-0000-0000-000000000000}"/>
  <bookViews>
    <workbookView xWindow="540" yWindow="1720" windowWidth="27040" windowHeight="15840" tabRatio="845" xr2:uid="{00000000-000D-0000-FFFF-FFFF00000000}"/>
  </bookViews>
  <sheets>
    <sheet name="JOB TOTAL" sheetId="104" r:id="rId1"/>
    <sheet name="Quote Price Schedule" sheetId="109" state="hidden" r:id="rId2"/>
    <sheet name="SPIRAL DUCT" sheetId="116" r:id="rId3"/>
    <sheet name="SUPPLY DUCT " sheetId="115" r:id="rId4"/>
    <sheet name="EXTRACT DUCT" sheetId="111" r:id="rId5"/>
    <sheet name="AHU TEST" sheetId="118" r:id="rId6"/>
    <sheet name="CONTRACT" sheetId="71" r:id="rId7"/>
    <sheet name="CANOPY" sheetId="99" r:id="rId8"/>
    <sheet name="FIRE SUPPRESSION" sheetId="123" r:id="rId9"/>
    <sheet name="SDU" sheetId="96" r:id="rId10"/>
    <sheet name="SDU (2)" sheetId="112" state="hidden" r:id="rId11"/>
    <sheet name="VENT CLG" sheetId="72" r:id="rId12"/>
    <sheet name="MARVEL" sheetId="95" r:id="rId13"/>
    <sheet name="EDGE BOX" sheetId="122" r:id="rId14"/>
    <sheet name="AEROLYS" sheetId="117" r:id="rId15"/>
    <sheet name="POLLUSTOP" sheetId="101" r:id="rId16"/>
    <sheet name="POLLU-LITE" sheetId="125" r:id="rId17"/>
    <sheet name="RECOAIR" sheetId="121" r:id="rId18"/>
    <sheet name="REACTAWAY " sheetId="120" r:id="rId19"/>
    <sheet name="INFECTAWAY" sheetId="97" state="hidden" r:id="rId20"/>
    <sheet name="Base Costs" sheetId="90" state="hidden" r:id="rId21"/>
    <sheet name="CC" sheetId="92" state="hidden" r:id="rId22"/>
    <sheet name="CCBASE" sheetId="98" state="hidden" r:id="rId23"/>
  </sheets>
  <externalReferences>
    <externalReference r:id="rId24"/>
    <externalReference r:id="rId25"/>
  </externalReferences>
  <definedNames>
    <definedName name="_xlnm._FilterDatabase" localSheetId="14" hidden="1">AEROLYS!$B$11:$H$81</definedName>
    <definedName name="_xlnm._FilterDatabase" localSheetId="15" hidden="1">POLLUSTOP!$B$11:$H$81</definedName>
    <definedName name="FanSize">'Base Costs'!$I$4:$I$10</definedName>
    <definedName name="_xlnm.Print_Area" localSheetId="14">AEROLYS!$A$1:$L$69</definedName>
    <definedName name="_xlnm.Print_Area" localSheetId="5">'AHU TEST'!$B$1:$K$74</definedName>
    <definedName name="_xlnm.Print_Area" localSheetId="7">CANOPY!$A$1:$O$206</definedName>
    <definedName name="_xlnm.Print_Area" localSheetId="6">CONTRACT!$B$1:$K$74</definedName>
    <definedName name="_xlnm.Print_Area" localSheetId="13">'EDGE BOX'!$C$1:$O$49</definedName>
    <definedName name="_xlnm.Print_Area" localSheetId="8">'FIRE SUPPRESSION'!$A$1:$O$206</definedName>
    <definedName name="_xlnm.Print_Area" localSheetId="19">INFECTAWAY!$D$1:$P$47</definedName>
    <definedName name="_xlnm.Print_Area" localSheetId="0">'JOB TOTAL'!$B$1:$O$28</definedName>
    <definedName name="_xlnm.Print_Area" localSheetId="12">MARVEL!$B$1:$K$68</definedName>
    <definedName name="_xlnm.Print_Area" localSheetId="16">'POLLU-LITE'!$C$1:$O$38</definedName>
    <definedName name="_xlnm.Print_Area" localSheetId="15">POLLUSTOP!$B$1:$L$89</definedName>
    <definedName name="_xlnm.Print_Area" localSheetId="18">'REACTAWAY '!$C$1:$O$47</definedName>
    <definedName name="_xlnm.Print_Area" localSheetId="17">RECOAIR!$C$1:$O$48</definedName>
    <definedName name="_xlnm.Print_Area" localSheetId="9">SDU!$B$1:$AD$110</definedName>
    <definedName name="_xlnm.Print_Area" localSheetId="10">'SDU (2)'!$B$1:$K$96</definedName>
    <definedName name="_xlnm.Print_Area" localSheetId="11">'VENT CLG'!$B$1:$K$63</definedName>
    <definedName name="SELECTPLANTHIRE" localSheetId="7">CANOPY!$Q$1:$Q$8</definedName>
    <definedName name="SELECTPLANTHIRE" localSheetId="13">'EDGE BOX'!$S$1:$S$8</definedName>
    <definedName name="SELECTPLANTHIRE" localSheetId="8">'FIRE SUPPRESSION'!$Q$1:$Q$8</definedName>
    <definedName name="SELECTPLANTHIRE" localSheetId="19">INFECTAWAY!$T$1:$T$8</definedName>
    <definedName name="SELECTPLANTHIRE" localSheetId="0">'JOB TOTAL'!$S$1:$S$8</definedName>
    <definedName name="SELECTPLANTHIRE" localSheetId="16">'POLLU-LITE'!$S$1:$S$8</definedName>
    <definedName name="SELECTPLANTHIRE" localSheetId="18">'REACTAWAY '!$S$1:$S$8</definedName>
    <definedName name="SELECTPLANTHIRE" localSheetId="17">RECOAIR!$S$1:$S$8</definedName>
    <definedName name="SELECTPLANTHIRE" localSheetId="9">'[1]UV CANOPY'!$T$1:$T$13</definedName>
    <definedName name="SELECTPLANTHIRE" localSheetId="10">'[1]UV CANOPY'!$T$1:$T$13</definedName>
    <definedName name="SIZE">'Base Costs'!$I$4:$I$10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01" l="1"/>
  <c r="K13" i="101"/>
  <c r="J13" i="101"/>
  <c r="H13" i="101"/>
  <c r="H30" i="101"/>
  <c r="J30" i="101"/>
  <c r="K30" i="101"/>
  <c r="L30" i="101"/>
  <c r="H49" i="101"/>
  <c r="J49" i="101"/>
  <c r="K49" i="101"/>
  <c r="L49" i="101"/>
  <c r="H48" i="101"/>
  <c r="J48" i="101"/>
  <c r="K48" i="101"/>
  <c r="L48" i="101"/>
  <c r="H47" i="101"/>
  <c r="J47" i="101"/>
  <c r="K47" i="101"/>
  <c r="L47" i="101"/>
  <c r="H46" i="101"/>
  <c r="J46" i="101"/>
  <c r="K46" i="101"/>
  <c r="L46" i="101"/>
  <c r="H45" i="101"/>
  <c r="J45" i="101"/>
  <c r="K45" i="101"/>
  <c r="L45" i="101"/>
  <c r="H44" i="101"/>
  <c r="J44" i="101"/>
  <c r="K44" i="101"/>
  <c r="L44" i="101"/>
  <c r="H43" i="101"/>
  <c r="J43" i="101"/>
  <c r="K43" i="101"/>
  <c r="L43" i="101"/>
  <c r="H42" i="101"/>
  <c r="J42" i="101"/>
  <c r="K42" i="101"/>
  <c r="L42" i="101"/>
  <c r="H41" i="101"/>
  <c r="J41" i="101"/>
  <c r="K41" i="101"/>
  <c r="L41" i="101"/>
  <c r="H40" i="101"/>
  <c r="J40" i="101"/>
  <c r="K40" i="101"/>
  <c r="L40" i="101"/>
  <c r="L39" i="101"/>
  <c r="K39" i="101"/>
  <c r="J39" i="101"/>
  <c r="H39" i="101"/>
  <c r="I39" i="101"/>
  <c r="H40" i="117"/>
  <c r="J40" i="117"/>
  <c r="H41" i="117"/>
  <c r="J41" i="117"/>
  <c r="H42" i="117"/>
  <c r="J42" i="117"/>
  <c r="H43" i="117"/>
  <c r="J43" i="117"/>
  <c r="H44" i="117"/>
  <c r="J44" i="117"/>
  <c r="H45" i="117"/>
  <c r="J45" i="117"/>
  <c r="H46" i="117"/>
  <c r="J46" i="117"/>
  <c r="H47" i="117"/>
  <c r="J47" i="117"/>
  <c r="H48" i="117"/>
  <c r="J48" i="117"/>
  <c r="H49" i="117"/>
  <c r="J49" i="117"/>
  <c r="J39" i="117"/>
  <c r="H39" i="117"/>
  <c r="K40" i="117"/>
  <c r="L40" i="117"/>
  <c r="K41" i="117"/>
  <c r="L41" i="117"/>
  <c r="K42" i="117"/>
  <c r="L42" i="117"/>
  <c r="K43" i="117"/>
  <c r="L43" i="117"/>
  <c r="K44" i="117"/>
  <c r="L44" i="117"/>
  <c r="K45" i="117"/>
  <c r="L45" i="117"/>
  <c r="K46" i="117"/>
  <c r="L46" i="117"/>
  <c r="K47" i="117"/>
  <c r="L47" i="117"/>
  <c r="K48" i="117"/>
  <c r="L48" i="117"/>
  <c r="K49" i="117"/>
  <c r="L49" i="117"/>
  <c r="L39" i="117"/>
  <c r="I39" i="117"/>
  <c r="H52" i="117"/>
  <c r="H53" i="117"/>
  <c r="H54" i="117"/>
  <c r="H55" i="117"/>
  <c r="H56" i="117"/>
  <c r="H57" i="117"/>
  <c r="H58" i="117"/>
  <c r="H59" i="117"/>
  <c r="H60" i="117"/>
  <c r="H61" i="117"/>
  <c r="H51" i="117"/>
  <c r="J52" i="117"/>
  <c r="L52" i="117"/>
  <c r="J53" i="117"/>
  <c r="L53" i="117"/>
  <c r="J54" i="117"/>
  <c r="L54" i="117"/>
  <c r="J55" i="117"/>
  <c r="L55" i="117"/>
  <c r="J56" i="117"/>
  <c r="L56" i="117"/>
  <c r="J57" i="117"/>
  <c r="L57" i="117"/>
  <c r="J58" i="117"/>
  <c r="L58" i="117"/>
  <c r="J59" i="117"/>
  <c r="L59" i="117"/>
  <c r="J60" i="117"/>
  <c r="L60" i="117"/>
  <c r="J61" i="117"/>
  <c r="L61" i="117"/>
  <c r="L51" i="117"/>
  <c r="J51" i="117"/>
  <c r="I51" i="117"/>
  <c r="K39" i="117"/>
  <c r="J15" i="99"/>
  <c r="L56" i="96"/>
  <c r="L54" i="96"/>
  <c r="L55" i="96"/>
  <c r="L53" i="96"/>
  <c r="L52" i="96"/>
  <c r="L51" i="96"/>
  <c r="L50" i="96"/>
  <c r="L49" i="96"/>
  <c r="F30" i="96"/>
  <c r="C22" i="99"/>
  <c r="H12" i="118"/>
  <c r="H52" i="101"/>
  <c r="H53" i="101"/>
  <c r="H54" i="101"/>
  <c r="H55" i="101"/>
  <c r="H56" i="101"/>
  <c r="H57" i="101"/>
  <c r="H58" i="101"/>
  <c r="H59" i="101"/>
  <c r="H60" i="101"/>
  <c r="H61" i="101"/>
  <c r="H51" i="101"/>
  <c r="J52" i="101"/>
  <c r="L52" i="101"/>
  <c r="J53" i="101"/>
  <c r="L53" i="101"/>
  <c r="J54" i="101"/>
  <c r="L54" i="101"/>
  <c r="J55" i="101"/>
  <c r="L55" i="101"/>
  <c r="J56" i="101"/>
  <c r="L56" i="101"/>
  <c r="J57" i="101"/>
  <c r="L57" i="101"/>
  <c r="J58" i="101"/>
  <c r="L58" i="101"/>
  <c r="J59" i="101"/>
  <c r="L59" i="101"/>
  <c r="J60" i="101"/>
  <c r="L60" i="101"/>
  <c r="J61" i="101"/>
  <c r="L61" i="101"/>
  <c r="L51" i="101"/>
  <c r="J51" i="101"/>
  <c r="I51" i="101"/>
  <c r="L165" i="99"/>
  <c r="F38" i="96"/>
  <c r="AX53" i="90"/>
  <c r="AR87" i="90"/>
  <c r="AR88" i="90"/>
  <c r="AR89" i="90"/>
  <c r="AR90" i="90"/>
  <c r="AR91" i="90"/>
  <c r="AR92" i="90"/>
  <c r="AR93" i="90"/>
  <c r="AR94" i="90"/>
  <c r="AR95" i="90"/>
  <c r="AR86" i="90"/>
  <c r="AR74" i="90"/>
  <c r="AR75" i="90"/>
  <c r="AR76" i="90"/>
  <c r="AR77" i="90"/>
  <c r="AR78" i="90"/>
  <c r="AR79" i="90"/>
  <c r="AR80" i="90"/>
  <c r="AR81" i="90"/>
  <c r="AR82" i="90"/>
  <c r="AR73" i="90"/>
  <c r="J18" i="99"/>
  <c r="J185" i="99"/>
  <c r="J184" i="99"/>
  <c r="T36" i="90"/>
  <c r="T37" i="90"/>
  <c r="T38" i="90"/>
  <c r="T39" i="90"/>
  <c r="T40" i="90"/>
  <c r="T41" i="90"/>
  <c r="T42" i="90"/>
  <c r="T43" i="90"/>
  <c r="T44" i="90"/>
  <c r="T45" i="90"/>
  <c r="T6" i="90"/>
  <c r="T7" i="90"/>
  <c r="T9" i="90"/>
  <c r="T10" i="90"/>
  <c r="T11" i="90"/>
  <c r="T12" i="90"/>
  <c r="T13" i="90"/>
  <c r="T5" i="90"/>
  <c r="K37" i="125"/>
  <c r="M37" i="125"/>
  <c r="O37" i="125"/>
  <c r="K36" i="125"/>
  <c r="M36" i="125"/>
  <c r="K35" i="125"/>
  <c r="M35" i="125"/>
  <c r="O35" i="125"/>
  <c r="K34" i="125"/>
  <c r="M34" i="125"/>
  <c r="K33" i="125"/>
  <c r="M33" i="125"/>
  <c r="O33" i="125"/>
  <c r="K32" i="125"/>
  <c r="M32" i="125"/>
  <c r="K31" i="125"/>
  <c r="M31" i="125"/>
  <c r="O31" i="125"/>
  <c r="K30" i="125"/>
  <c r="M30" i="125"/>
  <c r="J29" i="125"/>
  <c r="K29" i="125"/>
  <c r="M29" i="125"/>
  <c r="J28" i="125"/>
  <c r="K28" i="125"/>
  <c r="M28" i="125"/>
  <c r="J27" i="125"/>
  <c r="K27" i="125"/>
  <c r="K23" i="125"/>
  <c r="M23" i="125"/>
  <c r="K22" i="125"/>
  <c r="M22" i="125"/>
  <c r="K21" i="125"/>
  <c r="M21" i="125"/>
  <c r="K20" i="125"/>
  <c r="M20" i="125"/>
  <c r="K19" i="125"/>
  <c r="M19" i="125"/>
  <c r="K18" i="125"/>
  <c r="M18" i="125"/>
  <c r="K17" i="125"/>
  <c r="M17" i="125"/>
  <c r="K16" i="125"/>
  <c r="M16" i="125"/>
  <c r="K15" i="125"/>
  <c r="M15" i="125"/>
  <c r="K14" i="125"/>
  <c r="I12" i="125"/>
  <c r="G12" i="125"/>
  <c r="E12" i="125"/>
  <c r="H12" i="125"/>
  <c r="E9" i="125"/>
  <c r="O7" i="125"/>
  <c r="H7" i="125"/>
  <c r="D7" i="125"/>
  <c r="H5" i="125"/>
  <c r="D5" i="125"/>
  <c r="H3" i="125"/>
  <c r="D3" i="125"/>
  <c r="E17" i="99"/>
  <c r="O7" i="123"/>
  <c r="F180" i="123"/>
  <c r="E180" i="123"/>
  <c r="B180" i="123"/>
  <c r="F179" i="123"/>
  <c r="E179" i="123"/>
  <c r="B179" i="123"/>
  <c r="F178" i="123"/>
  <c r="E178" i="123"/>
  <c r="D178" i="123"/>
  <c r="B178" i="123"/>
  <c r="I177" i="123"/>
  <c r="I179" i="123"/>
  <c r="J179" i="123"/>
  <c r="B177" i="123"/>
  <c r="H176" i="123"/>
  <c r="F176" i="123"/>
  <c r="E176" i="123"/>
  <c r="D176" i="123"/>
  <c r="K176" i="123"/>
  <c r="M176" i="123"/>
  <c r="H175" i="123"/>
  <c r="D175" i="123"/>
  <c r="G174" i="123"/>
  <c r="J174" i="123"/>
  <c r="K174" i="123"/>
  <c r="M174" i="123"/>
  <c r="H174" i="123"/>
  <c r="J173" i="123"/>
  <c r="K173" i="123"/>
  <c r="M173" i="123"/>
  <c r="D172" i="123"/>
  <c r="J172" i="123"/>
  <c r="K172" i="123"/>
  <c r="M172" i="123"/>
  <c r="J171" i="123"/>
  <c r="K171" i="123"/>
  <c r="M171" i="123"/>
  <c r="E171" i="123"/>
  <c r="J170" i="123"/>
  <c r="K170" i="123"/>
  <c r="M170" i="123"/>
  <c r="J169" i="123"/>
  <c r="K169" i="123"/>
  <c r="M169" i="123"/>
  <c r="I165" i="123"/>
  <c r="H165" i="123"/>
  <c r="C165" i="123"/>
  <c r="E165" i="123"/>
  <c r="D165" i="123"/>
  <c r="I164" i="123"/>
  <c r="F163" i="123"/>
  <c r="E163" i="123"/>
  <c r="B163" i="123"/>
  <c r="F162" i="123"/>
  <c r="E162" i="123"/>
  <c r="B162" i="123"/>
  <c r="F161" i="123"/>
  <c r="E161" i="123"/>
  <c r="D161" i="123"/>
  <c r="B161" i="123"/>
  <c r="I160" i="123"/>
  <c r="I163" i="123"/>
  <c r="B160" i="123"/>
  <c r="H159" i="123"/>
  <c r="F159" i="123"/>
  <c r="E159" i="123"/>
  <c r="D159" i="123"/>
  <c r="G159" i="123"/>
  <c r="H158" i="123"/>
  <c r="D158" i="123"/>
  <c r="J158" i="123"/>
  <c r="J157" i="123"/>
  <c r="K157" i="123"/>
  <c r="M157" i="123"/>
  <c r="N157" i="123"/>
  <c r="H157" i="123"/>
  <c r="J156" i="123"/>
  <c r="K156" i="123"/>
  <c r="M156" i="123"/>
  <c r="D155" i="123"/>
  <c r="J155" i="123"/>
  <c r="K155" i="123"/>
  <c r="M155" i="123"/>
  <c r="J154" i="123"/>
  <c r="K154" i="123"/>
  <c r="M154" i="123"/>
  <c r="E154" i="123"/>
  <c r="J153" i="123"/>
  <c r="K153" i="123"/>
  <c r="M153" i="123"/>
  <c r="J152" i="123"/>
  <c r="K152" i="123"/>
  <c r="M152" i="123"/>
  <c r="I148" i="123"/>
  <c r="H148" i="123"/>
  <c r="C160" i="123"/>
  <c r="E148" i="123"/>
  <c r="D148" i="123"/>
  <c r="I147" i="123"/>
  <c r="F146" i="123"/>
  <c r="E146" i="123"/>
  <c r="B146" i="123"/>
  <c r="F145" i="123"/>
  <c r="E145" i="123"/>
  <c r="B145" i="123"/>
  <c r="F144" i="123"/>
  <c r="E144" i="123"/>
  <c r="D144" i="123"/>
  <c r="B144" i="123"/>
  <c r="I143" i="123"/>
  <c r="I145" i="123"/>
  <c r="J145" i="123"/>
  <c r="B143" i="123"/>
  <c r="H142" i="123"/>
  <c r="F142" i="123"/>
  <c r="E142" i="123"/>
  <c r="D142" i="123"/>
  <c r="K142" i="123"/>
  <c r="M142" i="123"/>
  <c r="H141" i="123"/>
  <c r="D141" i="123"/>
  <c r="G140" i="123"/>
  <c r="J140" i="123"/>
  <c r="K140" i="123"/>
  <c r="M140" i="123"/>
  <c r="H140" i="123"/>
  <c r="J139" i="123"/>
  <c r="K139" i="123"/>
  <c r="M139" i="123"/>
  <c r="D138" i="123"/>
  <c r="J138" i="123"/>
  <c r="K138" i="123"/>
  <c r="M138" i="123"/>
  <c r="J137" i="123"/>
  <c r="K137" i="123"/>
  <c r="M137" i="123"/>
  <c r="E137" i="123"/>
  <c r="J136" i="123"/>
  <c r="K136" i="123"/>
  <c r="M136" i="123"/>
  <c r="J135" i="123"/>
  <c r="K135" i="123"/>
  <c r="M135" i="123"/>
  <c r="I131" i="123"/>
  <c r="H131" i="123"/>
  <c r="C143" i="123"/>
  <c r="E131" i="123"/>
  <c r="D131" i="123"/>
  <c r="I130" i="123"/>
  <c r="C188" i="99"/>
  <c r="F180" i="99"/>
  <c r="E180" i="99"/>
  <c r="B180" i="99"/>
  <c r="F179" i="99"/>
  <c r="E179" i="99"/>
  <c r="B179" i="99"/>
  <c r="F178" i="99"/>
  <c r="E178" i="99"/>
  <c r="D178" i="99"/>
  <c r="B178" i="99"/>
  <c r="I177" i="99"/>
  <c r="I179" i="99"/>
  <c r="J179" i="99"/>
  <c r="B177" i="99"/>
  <c r="H176" i="99"/>
  <c r="F176" i="99"/>
  <c r="E176" i="99"/>
  <c r="D176" i="99"/>
  <c r="G176" i="99"/>
  <c r="H175" i="99"/>
  <c r="D175" i="99"/>
  <c r="J174" i="99"/>
  <c r="K174" i="99"/>
  <c r="M174" i="99"/>
  <c r="H174" i="99"/>
  <c r="J173" i="99"/>
  <c r="K173" i="99"/>
  <c r="M173" i="99"/>
  <c r="D172" i="99"/>
  <c r="J172" i="99"/>
  <c r="K172" i="99"/>
  <c r="M172" i="99"/>
  <c r="J171" i="99"/>
  <c r="K171" i="99"/>
  <c r="M171" i="99"/>
  <c r="E171" i="99"/>
  <c r="J170" i="99"/>
  <c r="K170" i="99"/>
  <c r="M170" i="99"/>
  <c r="E170" i="99"/>
  <c r="J169" i="99"/>
  <c r="K169" i="99"/>
  <c r="M169" i="99"/>
  <c r="I165" i="99"/>
  <c r="H165" i="99"/>
  <c r="F165" i="99"/>
  <c r="C175" i="99"/>
  <c r="E165" i="99"/>
  <c r="D165" i="99"/>
  <c r="I164" i="99"/>
  <c r="F163" i="99"/>
  <c r="E163" i="99"/>
  <c r="B163" i="99"/>
  <c r="F162" i="99"/>
  <c r="E162" i="99"/>
  <c r="B162" i="99"/>
  <c r="F161" i="99"/>
  <c r="E161" i="99"/>
  <c r="D161" i="99"/>
  <c r="B161" i="99"/>
  <c r="I160" i="99"/>
  <c r="I163" i="99"/>
  <c r="B160" i="99"/>
  <c r="H159" i="99"/>
  <c r="F159" i="99"/>
  <c r="E159" i="99"/>
  <c r="D159" i="99"/>
  <c r="H158" i="99"/>
  <c r="D158" i="99"/>
  <c r="J158" i="99"/>
  <c r="J157" i="99"/>
  <c r="K157" i="99"/>
  <c r="M157" i="99"/>
  <c r="H157" i="99"/>
  <c r="J156" i="99"/>
  <c r="K156" i="99"/>
  <c r="M156" i="99"/>
  <c r="D155" i="99"/>
  <c r="J155" i="99"/>
  <c r="K155" i="99"/>
  <c r="M155" i="99"/>
  <c r="J154" i="99"/>
  <c r="K154" i="99"/>
  <c r="M154" i="99"/>
  <c r="E154" i="99"/>
  <c r="J153" i="99"/>
  <c r="K153" i="99"/>
  <c r="M153" i="99"/>
  <c r="E153" i="99"/>
  <c r="J152" i="99"/>
  <c r="K152" i="99"/>
  <c r="M152" i="99"/>
  <c r="O152" i="99"/>
  <c r="I148" i="99"/>
  <c r="H148" i="99"/>
  <c r="C148" i="99"/>
  <c r="E148" i="99"/>
  <c r="D148" i="99"/>
  <c r="I147" i="99"/>
  <c r="F146" i="99"/>
  <c r="E146" i="99"/>
  <c r="B146" i="99"/>
  <c r="F145" i="99"/>
  <c r="E145" i="99"/>
  <c r="B145" i="99"/>
  <c r="F144" i="99"/>
  <c r="E144" i="99"/>
  <c r="D144" i="99"/>
  <c r="B144" i="99"/>
  <c r="I143" i="99"/>
  <c r="I146" i="99"/>
  <c r="B143" i="99"/>
  <c r="H142" i="99"/>
  <c r="F142" i="99"/>
  <c r="E142" i="99"/>
  <c r="D142" i="99"/>
  <c r="H141" i="99"/>
  <c r="D141" i="99"/>
  <c r="G140" i="99"/>
  <c r="J140" i="99"/>
  <c r="K140" i="99"/>
  <c r="M140" i="99"/>
  <c r="H140" i="99"/>
  <c r="J139" i="99"/>
  <c r="K139" i="99"/>
  <c r="M139" i="99"/>
  <c r="D138" i="99"/>
  <c r="J138" i="99"/>
  <c r="K138" i="99"/>
  <c r="M138" i="99"/>
  <c r="J137" i="99"/>
  <c r="K137" i="99"/>
  <c r="M137" i="99"/>
  <c r="E137" i="99"/>
  <c r="J136" i="99"/>
  <c r="K136" i="99"/>
  <c r="M136" i="99"/>
  <c r="E136" i="99"/>
  <c r="J135" i="99"/>
  <c r="K135" i="99"/>
  <c r="M135" i="99"/>
  <c r="I131" i="99"/>
  <c r="H131" i="99"/>
  <c r="F131" i="99"/>
  <c r="C141" i="99"/>
  <c r="E131" i="99"/>
  <c r="D131" i="99"/>
  <c r="I130" i="99"/>
  <c r="I113" i="99"/>
  <c r="I96" i="99"/>
  <c r="K145" i="123"/>
  <c r="M145" i="123"/>
  <c r="N145" i="123"/>
  <c r="K12" i="125"/>
  <c r="N34" i="125"/>
  <c r="O34" i="125"/>
  <c r="O16" i="125"/>
  <c r="N16" i="125"/>
  <c r="O18" i="125"/>
  <c r="N18" i="125"/>
  <c r="N19" i="125"/>
  <c r="O19" i="125"/>
  <c r="O29" i="125"/>
  <c r="N29" i="125"/>
  <c r="O20" i="125"/>
  <c r="N20" i="125"/>
  <c r="N30" i="125"/>
  <c r="O30" i="125"/>
  <c r="O17" i="125"/>
  <c r="N17" i="125"/>
  <c r="O28" i="125"/>
  <c r="N28" i="125"/>
  <c r="N21" i="125"/>
  <c r="O21" i="125"/>
  <c r="N36" i="125"/>
  <c r="O36" i="125"/>
  <c r="O22" i="125"/>
  <c r="N22" i="125"/>
  <c r="N15" i="125"/>
  <c r="O15" i="125"/>
  <c r="N23" i="125"/>
  <c r="O23" i="125"/>
  <c r="N32" i="125"/>
  <c r="O32" i="125"/>
  <c r="M27" i="125"/>
  <c r="K26" i="125"/>
  <c r="L26" i="125"/>
  <c r="M14" i="125"/>
  <c r="N31" i="125"/>
  <c r="N33" i="125"/>
  <c r="N35" i="125"/>
  <c r="N37" i="125"/>
  <c r="N153" i="123"/>
  <c r="O153" i="123"/>
  <c r="I146" i="123"/>
  <c r="J146" i="123"/>
  <c r="K146" i="123"/>
  <c r="M146" i="123"/>
  <c r="N146" i="123"/>
  <c r="F131" i="123"/>
  <c r="C141" i="123"/>
  <c r="I144" i="123"/>
  <c r="K179" i="123"/>
  <c r="M179" i="123"/>
  <c r="N179" i="123"/>
  <c r="O157" i="123"/>
  <c r="F165" i="123"/>
  <c r="C175" i="123"/>
  <c r="I178" i="123"/>
  <c r="I180" i="123"/>
  <c r="J180" i="123"/>
  <c r="K180" i="123"/>
  <c r="M180" i="123"/>
  <c r="O146" i="123"/>
  <c r="O136" i="123"/>
  <c r="N136" i="123"/>
  <c r="O140" i="123"/>
  <c r="N140" i="123"/>
  <c r="J168" i="123"/>
  <c r="K168" i="123"/>
  <c r="M168" i="123"/>
  <c r="O137" i="123"/>
  <c r="N137" i="123"/>
  <c r="O154" i="123"/>
  <c r="N154" i="123"/>
  <c r="J163" i="123"/>
  <c r="K163" i="123"/>
  <c r="M163" i="123"/>
  <c r="O173" i="123"/>
  <c r="N173" i="123"/>
  <c r="O169" i="123"/>
  <c r="N169" i="123"/>
  <c r="O170" i="123"/>
  <c r="N170" i="123"/>
  <c r="O174" i="123"/>
  <c r="N174" i="123"/>
  <c r="N138" i="123"/>
  <c r="O138" i="123"/>
  <c r="O171" i="123"/>
  <c r="N171" i="123"/>
  <c r="N152" i="123"/>
  <c r="O152" i="123"/>
  <c r="N156" i="123"/>
  <c r="O156" i="123"/>
  <c r="J143" i="123"/>
  <c r="K143" i="123"/>
  <c r="M143" i="123"/>
  <c r="F143" i="123"/>
  <c r="E143" i="123"/>
  <c r="D143" i="123"/>
  <c r="O139" i="123"/>
  <c r="N139" i="123"/>
  <c r="O155" i="123"/>
  <c r="N155" i="123"/>
  <c r="N142" i="123"/>
  <c r="O142" i="123"/>
  <c r="O135" i="123"/>
  <c r="N135" i="123"/>
  <c r="D160" i="123"/>
  <c r="E160" i="123"/>
  <c r="J160" i="123"/>
  <c r="K160" i="123"/>
  <c r="M160" i="123"/>
  <c r="F160" i="123"/>
  <c r="N172" i="123"/>
  <c r="O172" i="123"/>
  <c r="N176" i="123"/>
  <c r="O176" i="123"/>
  <c r="G141" i="123"/>
  <c r="J144" i="123"/>
  <c r="K144" i="123"/>
  <c r="M144" i="123"/>
  <c r="C148" i="123"/>
  <c r="K159" i="123"/>
  <c r="M159" i="123"/>
  <c r="G175" i="123"/>
  <c r="J178" i="123"/>
  <c r="J141" i="123"/>
  <c r="K141" i="123"/>
  <c r="M141" i="123"/>
  <c r="G142" i="123"/>
  <c r="J175" i="123"/>
  <c r="G176" i="123"/>
  <c r="F148" i="123"/>
  <c r="C158" i="123"/>
  <c r="K158" i="123"/>
  <c r="M158" i="123"/>
  <c r="G157" i="123"/>
  <c r="C177" i="123"/>
  <c r="C131" i="123"/>
  <c r="G158" i="123"/>
  <c r="J161" i="123"/>
  <c r="I162" i="123"/>
  <c r="J162" i="123"/>
  <c r="K162" i="123"/>
  <c r="M162" i="123"/>
  <c r="G157" i="99"/>
  <c r="F148" i="99"/>
  <c r="C158" i="99"/>
  <c r="I161" i="99"/>
  <c r="G165" i="99"/>
  <c r="G141" i="99"/>
  <c r="I145" i="99"/>
  <c r="J145" i="99"/>
  <c r="K145" i="99"/>
  <c r="M145" i="99"/>
  <c r="N145" i="99"/>
  <c r="J146" i="99"/>
  <c r="K146" i="99"/>
  <c r="M146" i="99"/>
  <c r="G175" i="99"/>
  <c r="K179" i="99"/>
  <c r="M179" i="99"/>
  <c r="O179" i="99"/>
  <c r="G158" i="99"/>
  <c r="J175" i="99"/>
  <c r="K175" i="99"/>
  <c r="M175" i="99"/>
  <c r="J144" i="99"/>
  <c r="K144" i="99"/>
  <c r="M144" i="99"/>
  <c r="G174" i="99"/>
  <c r="I180" i="99"/>
  <c r="J180" i="99"/>
  <c r="K180" i="99"/>
  <c r="M180" i="99"/>
  <c r="N170" i="99"/>
  <c r="O170" i="99"/>
  <c r="J151" i="99"/>
  <c r="K151" i="99"/>
  <c r="M151" i="99"/>
  <c r="J150" i="99"/>
  <c r="K150" i="99"/>
  <c r="O157" i="99"/>
  <c r="N157" i="99"/>
  <c r="F175" i="99"/>
  <c r="E175" i="99"/>
  <c r="I178" i="99"/>
  <c r="N171" i="99"/>
  <c r="O171" i="99"/>
  <c r="N154" i="99"/>
  <c r="O154" i="99"/>
  <c r="O172" i="99"/>
  <c r="N172" i="99"/>
  <c r="N174" i="99"/>
  <c r="O174" i="99"/>
  <c r="J163" i="99"/>
  <c r="K163" i="99"/>
  <c r="M163" i="99"/>
  <c r="O173" i="99"/>
  <c r="N173" i="99"/>
  <c r="O153" i="99"/>
  <c r="N153" i="99"/>
  <c r="N155" i="99"/>
  <c r="O155" i="99"/>
  <c r="O169" i="99"/>
  <c r="N169" i="99"/>
  <c r="O156" i="99"/>
  <c r="N156" i="99"/>
  <c r="J178" i="99"/>
  <c r="K178" i="99"/>
  <c r="M178" i="99"/>
  <c r="J161" i="99"/>
  <c r="I162" i="99"/>
  <c r="J162" i="99"/>
  <c r="K162" i="99"/>
  <c r="M162" i="99"/>
  <c r="C165" i="99"/>
  <c r="G159" i="99"/>
  <c r="C160" i="99"/>
  <c r="J176" i="99"/>
  <c r="K176" i="99"/>
  <c r="M176" i="99"/>
  <c r="C177" i="99"/>
  <c r="N152" i="99"/>
  <c r="J159" i="99"/>
  <c r="K159" i="99"/>
  <c r="M159" i="99"/>
  <c r="O139" i="99"/>
  <c r="N139" i="99"/>
  <c r="F141" i="99"/>
  <c r="I144" i="99"/>
  <c r="E141" i="99"/>
  <c r="O136" i="99"/>
  <c r="N136" i="99"/>
  <c r="O138" i="99"/>
  <c r="N138" i="99"/>
  <c r="O140" i="99"/>
  <c r="N140" i="99"/>
  <c r="G131" i="99"/>
  <c r="O137" i="99"/>
  <c r="N137" i="99"/>
  <c r="O146" i="99"/>
  <c r="N146" i="99"/>
  <c r="O135" i="99"/>
  <c r="N135" i="99"/>
  <c r="J141" i="99"/>
  <c r="K141" i="99"/>
  <c r="M141" i="99"/>
  <c r="G142" i="99"/>
  <c r="C143" i="99"/>
  <c r="C131" i="99"/>
  <c r="J142" i="99"/>
  <c r="K142" i="99"/>
  <c r="M142" i="99"/>
  <c r="K158" i="99"/>
  <c r="M158" i="99"/>
  <c r="O158" i="99"/>
  <c r="O145" i="123"/>
  <c r="K161" i="99"/>
  <c r="M161" i="99"/>
  <c r="O161" i="99"/>
  <c r="E141" i="123"/>
  <c r="O179" i="123"/>
  <c r="K175" i="123"/>
  <c r="M175" i="123"/>
  <c r="N175" i="123"/>
  <c r="O145" i="99"/>
  <c r="K9" i="125"/>
  <c r="O180" i="123"/>
  <c r="N180" i="123"/>
  <c r="F175" i="123"/>
  <c r="E175" i="123"/>
  <c r="G165" i="123"/>
  <c r="K178" i="123"/>
  <c r="M178" i="123"/>
  <c r="N178" i="123"/>
  <c r="J167" i="123"/>
  <c r="K167" i="123"/>
  <c r="K161" i="123"/>
  <c r="M161" i="123"/>
  <c r="N161" i="123"/>
  <c r="F141" i="123"/>
  <c r="M26" i="125"/>
  <c r="O27" i="125"/>
  <c r="N27" i="125"/>
  <c r="N26" i="125"/>
  <c r="O14" i="125"/>
  <c r="O12" i="125"/>
  <c r="N14" i="125"/>
  <c r="N12" i="125"/>
  <c r="M12" i="125"/>
  <c r="O26" i="125"/>
  <c r="G131" i="123"/>
  <c r="O141" i="123"/>
  <c r="N141" i="123"/>
  <c r="N158" i="123"/>
  <c r="O158" i="123"/>
  <c r="O159" i="123"/>
  <c r="N159" i="123"/>
  <c r="J150" i="123"/>
  <c r="K150" i="123"/>
  <c r="J151" i="123"/>
  <c r="K151" i="123"/>
  <c r="M151" i="123"/>
  <c r="G148" i="123"/>
  <c r="O163" i="123"/>
  <c r="N163" i="123"/>
  <c r="I161" i="123"/>
  <c r="F158" i="123"/>
  <c r="E158" i="123"/>
  <c r="O160" i="123"/>
  <c r="N160" i="123"/>
  <c r="J134" i="123"/>
  <c r="K134" i="123"/>
  <c r="M134" i="123"/>
  <c r="J133" i="123"/>
  <c r="K133" i="123"/>
  <c r="O168" i="123"/>
  <c r="N168" i="123"/>
  <c r="J177" i="123"/>
  <c r="K177" i="123"/>
  <c r="M177" i="123"/>
  <c r="F177" i="123"/>
  <c r="E177" i="123"/>
  <c r="D177" i="123"/>
  <c r="O144" i="123"/>
  <c r="N144" i="123"/>
  <c r="O162" i="123"/>
  <c r="N162" i="123"/>
  <c r="O143" i="123"/>
  <c r="N143" i="123"/>
  <c r="G148" i="99"/>
  <c r="F158" i="99"/>
  <c r="E158" i="99"/>
  <c r="N179" i="99"/>
  <c r="O180" i="99"/>
  <c r="N180" i="99"/>
  <c r="O175" i="99"/>
  <c r="N175" i="99"/>
  <c r="O159" i="99"/>
  <c r="N159" i="99"/>
  <c r="N176" i="99"/>
  <c r="O176" i="99"/>
  <c r="F160" i="99"/>
  <c r="E160" i="99"/>
  <c r="D160" i="99"/>
  <c r="J160" i="99"/>
  <c r="K160" i="99"/>
  <c r="M160" i="99"/>
  <c r="M150" i="99"/>
  <c r="J167" i="99"/>
  <c r="K167" i="99"/>
  <c r="J168" i="99"/>
  <c r="K168" i="99"/>
  <c r="M168" i="99"/>
  <c r="O151" i="99"/>
  <c r="N151" i="99"/>
  <c r="N162" i="99"/>
  <c r="O162" i="99"/>
  <c r="J177" i="99"/>
  <c r="K177" i="99"/>
  <c r="M177" i="99"/>
  <c r="F177" i="99"/>
  <c r="E177" i="99"/>
  <c r="D177" i="99"/>
  <c r="O178" i="99"/>
  <c r="N178" i="99"/>
  <c r="N163" i="99"/>
  <c r="O163" i="99"/>
  <c r="N142" i="99"/>
  <c r="O142" i="99"/>
  <c r="O141" i="99"/>
  <c r="N141" i="99"/>
  <c r="J133" i="99"/>
  <c r="K133" i="99"/>
  <c r="J134" i="99"/>
  <c r="K134" i="99"/>
  <c r="M134" i="99"/>
  <c r="J143" i="99"/>
  <c r="K143" i="99"/>
  <c r="M143" i="99"/>
  <c r="F143" i="99"/>
  <c r="E143" i="99"/>
  <c r="D143" i="99"/>
  <c r="O144" i="99"/>
  <c r="N144" i="99"/>
  <c r="N158" i="99"/>
  <c r="N161" i="99"/>
  <c r="O175" i="123"/>
  <c r="N9" i="125"/>
  <c r="M167" i="123"/>
  <c r="M165" i="123"/>
  <c r="O161" i="123"/>
  <c r="O178" i="123"/>
  <c r="M9" i="125"/>
  <c r="L12" i="125"/>
  <c r="O9" i="125"/>
  <c r="O134" i="123"/>
  <c r="N134" i="123"/>
  <c r="M150" i="123"/>
  <c r="K148" i="123"/>
  <c r="L148" i="123"/>
  <c r="K131" i="123"/>
  <c r="L131" i="123"/>
  <c r="M133" i="123"/>
  <c r="K165" i="123"/>
  <c r="L165" i="123"/>
  <c r="N177" i="123"/>
  <c r="O177" i="123"/>
  <c r="O151" i="123"/>
  <c r="N151" i="123"/>
  <c r="N177" i="99"/>
  <c r="O177" i="99"/>
  <c r="N168" i="99"/>
  <c r="O168" i="99"/>
  <c r="K165" i="99"/>
  <c r="M167" i="99"/>
  <c r="M148" i="99"/>
  <c r="O150" i="99"/>
  <c r="N150" i="99"/>
  <c r="O160" i="99"/>
  <c r="N160" i="99"/>
  <c r="K148" i="99"/>
  <c r="L148" i="99"/>
  <c r="O143" i="99"/>
  <c r="N143" i="99"/>
  <c r="M133" i="99"/>
  <c r="K131" i="99"/>
  <c r="L131" i="99"/>
  <c r="N134" i="99"/>
  <c r="O134" i="99"/>
  <c r="L9" i="125"/>
  <c r="O167" i="123"/>
  <c r="O165" i="123"/>
  <c r="N167" i="123"/>
  <c r="N165" i="123"/>
  <c r="M131" i="123"/>
  <c r="O133" i="123"/>
  <c r="O131" i="123"/>
  <c r="N133" i="123"/>
  <c r="N131" i="123"/>
  <c r="N150" i="123"/>
  <c r="N148" i="123"/>
  <c r="M148" i="123"/>
  <c r="O150" i="123"/>
  <c r="O148" i="123"/>
  <c r="N167" i="99"/>
  <c r="N165" i="99"/>
  <c r="M165" i="99"/>
  <c r="O167" i="99"/>
  <c r="O165" i="99"/>
  <c r="N148" i="99"/>
  <c r="O148" i="99"/>
  <c r="M131" i="99"/>
  <c r="O133" i="99"/>
  <c r="O131" i="99"/>
  <c r="N133" i="99"/>
  <c r="N131" i="99"/>
  <c r="J183" i="99"/>
  <c r="K183" i="99"/>
  <c r="K184" i="99"/>
  <c r="M184" i="99"/>
  <c r="N184" i="99"/>
  <c r="O184" i="99"/>
  <c r="K185" i="99"/>
  <c r="J119" i="123"/>
  <c r="J102" i="123"/>
  <c r="J85" i="123"/>
  <c r="J68" i="123"/>
  <c r="J51" i="123"/>
  <c r="J34" i="123"/>
  <c r="J17" i="123"/>
  <c r="K119" i="123"/>
  <c r="M119" i="123"/>
  <c r="K102" i="123"/>
  <c r="M102" i="123"/>
  <c r="K85" i="123"/>
  <c r="M85" i="123"/>
  <c r="K68" i="123"/>
  <c r="M68" i="123"/>
  <c r="K51" i="123"/>
  <c r="M51" i="123"/>
  <c r="K34" i="123"/>
  <c r="M34" i="123"/>
  <c r="N119" i="123"/>
  <c r="O119" i="123"/>
  <c r="N102" i="123"/>
  <c r="O102" i="123"/>
  <c r="O85" i="123"/>
  <c r="N85" i="123"/>
  <c r="O68" i="123"/>
  <c r="N68" i="123"/>
  <c r="N51" i="123"/>
  <c r="O51" i="123"/>
  <c r="O34" i="123"/>
  <c r="N34" i="123"/>
  <c r="K17" i="123"/>
  <c r="M17" i="123"/>
  <c r="O17" i="123"/>
  <c r="J17" i="99"/>
  <c r="K17" i="99"/>
  <c r="M17" i="99"/>
  <c r="G7" i="123"/>
  <c r="I7" i="123"/>
  <c r="C3" i="123"/>
  <c r="C3" i="71"/>
  <c r="C5" i="71"/>
  <c r="C7" i="71"/>
  <c r="F3" i="71"/>
  <c r="F5" i="71"/>
  <c r="F7" i="71"/>
  <c r="G3" i="123"/>
  <c r="I3" i="123"/>
  <c r="G5" i="123"/>
  <c r="I5" i="123"/>
  <c r="C5" i="123"/>
  <c r="C7" i="123"/>
  <c r="K197" i="123"/>
  <c r="M197" i="123"/>
  <c r="K196" i="123"/>
  <c r="M196" i="123"/>
  <c r="K195" i="123"/>
  <c r="M195" i="123"/>
  <c r="K194" i="123"/>
  <c r="M194" i="123"/>
  <c r="K193" i="123"/>
  <c r="M193" i="123"/>
  <c r="K192" i="123"/>
  <c r="M192" i="123"/>
  <c r="K191" i="123"/>
  <c r="M191" i="123"/>
  <c r="K190" i="123"/>
  <c r="M190" i="123"/>
  <c r="K189" i="123"/>
  <c r="M189" i="123"/>
  <c r="K188" i="123"/>
  <c r="M188" i="123"/>
  <c r="K187" i="123"/>
  <c r="M187" i="123"/>
  <c r="J186" i="123"/>
  <c r="K186" i="123"/>
  <c r="M186" i="123"/>
  <c r="O186" i="123"/>
  <c r="J185" i="123"/>
  <c r="K185" i="123"/>
  <c r="M185" i="123"/>
  <c r="J184" i="123"/>
  <c r="K184" i="123"/>
  <c r="M184" i="123"/>
  <c r="N184" i="123"/>
  <c r="J183" i="123"/>
  <c r="K183" i="123"/>
  <c r="M183" i="123"/>
  <c r="F129" i="123"/>
  <c r="E129" i="123"/>
  <c r="B129" i="123"/>
  <c r="F128" i="123"/>
  <c r="E128" i="123"/>
  <c r="B128" i="123"/>
  <c r="F127" i="123"/>
  <c r="E127" i="123"/>
  <c r="D127" i="123"/>
  <c r="B127" i="123"/>
  <c r="I126" i="123"/>
  <c r="B126" i="123"/>
  <c r="H125" i="123"/>
  <c r="F125" i="123"/>
  <c r="E125" i="123"/>
  <c r="D125" i="123"/>
  <c r="H124" i="123"/>
  <c r="D124" i="123"/>
  <c r="G124" i="123"/>
  <c r="J123" i="123"/>
  <c r="K123" i="123"/>
  <c r="M123" i="123"/>
  <c r="H123" i="123"/>
  <c r="J122" i="123"/>
  <c r="K122" i="123"/>
  <c r="M122" i="123"/>
  <c r="D121" i="123"/>
  <c r="J121" i="123"/>
  <c r="K121" i="123"/>
  <c r="M121" i="123"/>
  <c r="N121" i="123"/>
  <c r="J120" i="123"/>
  <c r="K120" i="123"/>
  <c r="M120" i="123"/>
  <c r="E120" i="123"/>
  <c r="J118" i="123"/>
  <c r="K118" i="123"/>
  <c r="M118" i="123"/>
  <c r="I114" i="123"/>
  <c r="H114" i="123"/>
  <c r="C114" i="123"/>
  <c r="J117" i="123"/>
  <c r="K117" i="123"/>
  <c r="M117" i="123"/>
  <c r="E114" i="123"/>
  <c r="D114" i="123"/>
  <c r="I113" i="123"/>
  <c r="F112" i="123"/>
  <c r="E112" i="123"/>
  <c r="B112" i="123"/>
  <c r="F111" i="123"/>
  <c r="E111" i="123"/>
  <c r="B111" i="123"/>
  <c r="F110" i="123"/>
  <c r="E110" i="123"/>
  <c r="D110" i="123"/>
  <c r="B110" i="123"/>
  <c r="I109" i="123"/>
  <c r="I112" i="123"/>
  <c r="B109" i="123"/>
  <c r="H108" i="123"/>
  <c r="F108" i="123"/>
  <c r="E108" i="123"/>
  <c r="D108" i="123"/>
  <c r="G108" i="123"/>
  <c r="H107" i="123"/>
  <c r="D107" i="123"/>
  <c r="G106" i="123"/>
  <c r="J106" i="123"/>
  <c r="K106" i="123"/>
  <c r="M106" i="123"/>
  <c r="H106" i="123"/>
  <c r="J105" i="123"/>
  <c r="K105" i="123"/>
  <c r="M105" i="123"/>
  <c r="N105" i="123"/>
  <c r="D104" i="123"/>
  <c r="J104" i="123"/>
  <c r="K104" i="123"/>
  <c r="M104" i="123"/>
  <c r="J103" i="123"/>
  <c r="K103" i="123"/>
  <c r="M103" i="123"/>
  <c r="E103" i="123"/>
  <c r="J101" i="123"/>
  <c r="K101" i="123"/>
  <c r="M101" i="123"/>
  <c r="N101" i="123"/>
  <c r="I97" i="123"/>
  <c r="H97" i="123"/>
  <c r="C109" i="123"/>
  <c r="E109" i="123"/>
  <c r="E97" i="123"/>
  <c r="D97" i="123"/>
  <c r="I96" i="123"/>
  <c r="F95" i="123"/>
  <c r="E95" i="123"/>
  <c r="B95" i="123"/>
  <c r="F94" i="123"/>
  <c r="E94" i="123"/>
  <c r="B94" i="123"/>
  <c r="F93" i="123"/>
  <c r="E93" i="123"/>
  <c r="D93" i="123"/>
  <c r="B93" i="123"/>
  <c r="I92" i="123"/>
  <c r="I94" i="123"/>
  <c r="J94" i="123"/>
  <c r="B92" i="123"/>
  <c r="H91" i="123"/>
  <c r="F91" i="123"/>
  <c r="E91" i="123"/>
  <c r="D91" i="123"/>
  <c r="G91" i="123"/>
  <c r="H90" i="123"/>
  <c r="D90" i="123"/>
  <c r="G90" i="123"/>
  <c r="J89" i="123"/>
  <c r="K89" i="123"/>
  <c r="M89" i="123"/>
  <c r="N89" i="123"/>
  <c r="H89" i="123"/>
  <c r="J88" i="123"/>
  <c r="K88" i="123"/>
  <c r="M88" i="123"/>
  <c r="O88" i="123"/>
  <c r="D87" i="123"/>
  <c r="J87" i="123"/>
  <c r="K87" i="123"/>
  <c r="M87" i="123"/>
  <c r="J86" i="123"/>
  <c r="K86" i="123"/>
  <c r="M86" i="123"/>
  <c r="E86" i="123"/>
  <c r="J84" i="123"/>
  <c r="K84" i="123"/>
  <c r="M84" i="123"/>
  <c r="N84" i="123"/>
  <c r="I80" i="123"/>
  <c r="H80" i="123"/>
  <c r="C92" i="123"/>
  <c r="D92" i="123"/>
  <c r="E80" i="123"/>
  <c r="D80" i="123"/>
  <c r="I79" i="123"/>
  <c r="F78" i="123"/>
  <c r="E78" i="123"/>
  <c r="B78" i="123"/>
  <c r="F77" i="123"/>
  <c r="E77" i="123"/>
  <c r="B77" i="123"/>
  <c r="F76" i="123"/>
  <c r="E76" i="123"/>
  <c r="D76" i="123"/>
  <c r="B76" i="123"/>
  <c r="I75" i="123"/>
  <c r="I78" i="123"/>
  <c r="B75" i="123"/>
  <c r="H74" i="123"/>
  <c r="F74" i="123"/>
  <c r="E74" i="123"/>
  <c r="D74" i="123"/>
  <c r="G74" i="123"/>
  <c r="H73" i="123"/>
  <c r="D73" i="123"/>
  <c r="J73" i="123"/>
  <c r="J72" i="123"/>
  <c r="K72" i="123"/>
  <c r="M72" i="123"/>
  <c r="H72" i="123"/>
  <c r="J71" i="123"/>
  <c r="K71" i="123"/>
  <c r="M71" i="123"/>
  <c r="D70" i="123"/>
  <c r="J70" i="123"/>
  <c r="K70" i="123"/>
  <c r="M70" i="123"/>
  <c r="J69" i="123"/>
  <c r="K69" i="123"/>
  <c r="M69" i="123"/>
  <c r="N69" i="123"/>
  <c r="E69" i="123"/>
  <c r="J67" i="123"/>
  <c r="K67" i="123"/>
  <c r="M67" i="123"/>
  <c r="I63" i="123"/>
  <c r="H63" i="123"/>
  <c r="C63" i="123"/>
  <c r="E63" i="123"/>
  <c r="D63" i="123"/>
  <c r="I62" i="123"/>
  <c r="F61" i="123"/>
  <c r="E61" i="123"/>
  <c r="B61" i="123"/>
  <c r="F60" i="123"/>
  <c r="E60" i="123"/>
  <c r="B60" i="123"/>
  <c r="F59" i="123"/>
  <c r="E59" i="123"/>
  <c r="D59" i="123"/>
  <c r="B59" i="123"/>
  <c r="I58" i="123"/>
  <c r="I61" i="123"/>
  <c r="B58" i="123"/>
  <c r="H57" i="123"/>
  <c r="F57" i="123"/>
  <c r="E57" i="123"/>
  <c r="D57" i="123"/>
  <c r="H56" i="123"/>
  <c r="D56" i="123"/>
  <c r="G56" i="123"/>
  <c r="J55" i="123"/>
  <c r="K55" i="123"/>
  <c r="M55" i="123"/>
  <c r="H55" i="123"/>
  <c r="J54" i="123"/>
  <c r="K54" i="123"/>
  <c r="M54" i="123"/>
  <c r="D53" i="123"/>
  <c r="J53" i="123"/>
  <c r="K53" i="123"/>
  <c r="M53" i="123"/>
  <c r="O53" i="123"/>
  <c r="J52" i="123"/>
  <c r="K52" i="123"/>
  <c r="M52" i="123"/>
  <c r="E52" i="123"/>
  <c r="J50" i="123"/>
  <c r="K50" i="123"/>
  <c r="M50" i="123"/>
  <c r="I46" i="123"/>
  <c r="H46" i="123"/>
  <c r="C46" i="123"/>
  <c r="J49" i="123"/>
  <c r="K49" i="123"/>
  <c r="M49" i="123"/>
  <c r="O49" i="123"/>
  <c r="E46" i="123"/>
  <c r="D46" i="123"/>
  <c r="I45" i="123"/>
  <c r="F44" i="123"/>
  <c r="E44" i="123"/>
  <c r="B44" i="123"/>
  <c r="F43" i="123"/>
  <c r="E43" i="123"/>
  <c r="B43" i="123"/>
  <c r="F42" i="123"/>
  <c r="E42" i="123"/>
  <c r="D42" i="123"/>
  <c r="B42" i="123"/>
  <c r="I41" i="123"/>
  <c r="I44" i="123"/>
  <c r="B41" i="123"/>
  <c r="H40" i="123"/>
  <c r="F40" i="123"/>
  <c r="E40" i="123"/>
  <c r="D40" i="123"/>
  <c r="G40" i="123"/>
  <c r="H39" i="123"/>
  <c r="D39" i="123"/>
  <c r="G38" i="123"/>
  <c r="J38" i="123"/>
  <c r="K38" i="123"/>
  <c r="M38" i="123"/>
  <c r="H38" i="123"/>
  <c r="J37" i="123"/>
  <c r="K37" i="123"/>
  <c r="M37" i="123"/>
  <c r="N37" i="123"/>
  <c r="D36" i="123"/>
  <c r="J36" i="123"/>
  <c r="K36" i="123"/>
  <c r="M36" i="123"/>
  <c r="J35" i="123"/>
  <c r="K35" i="123"/>
  <c r="M35" i="123"/>
  <c r="J33" i="123"/>
  <c r="K33" i="123"/>
  <c r="M33" i="123"/>
  <c r="I29" i="123"/>
  <c r="H29" i="123"/>
  <c r="C41" i="123"/>
  <c r="D41" i="123"/>
  <c r="E29" i="123"/>
  <c r="D29" i="123"/>
  <c r="I28" i="123"/>
  <c r="F27" i="123"/>
  <c r="E27" i="123"/>
  <c r="B27" i="123"/>
  <c r="F26" i="123"/>
  <c r="E26" i="123"/>
  <c r="B26" i="123"/>
  <c r="F25" i="123"/>
  <c r="E25" i="123"/>
  <c r="D25" i="123"/>
  <c r="B25" i="123"/>
  <c r="I24" i="123"/>
  <c r="I27" i="123"/>
  <c r="B24" i="123"/>
  <c r="H23" i="123"/>
  <c r="F23" i="123"/>
  <c r="E23" i="123"/>
  <c r="D23" i="123"/>
  <c r="G23" i="123"/>
  <c r="H22" i="123"/>
  <c r="D22" i="123"/>
  <c r="G21" i="123"/>
  <c r="J21" i="123"/>
  <c r="K21" i="123"/>
  <c r="M21" i="123"/>
  <c r="O21" i="123"/>
  <c r="H21" i="123"/>
  <c r="J20" i="123"/>
  <c r="K20" i="123"/>
  <c r="M20" i="123"/>
  <c r="D19" i="123"/>
  <c r="J19" i="123"/>
  <c r="K19" i="123"/>
  <c r="M19" i="123"/>
  <c r="J18" i="123"/>
  <c r="K18" i="123"/>
  <c r="M18" i="123"/>
  <c r="N18" i="123"/>
  <c r="E18" i="123"/>
  <c r="J16" i="123"/>
  <c r="K16" i="123"/>
  <c r="M16" i="123"/>
  <c r="I12" i="123"/>
  <c r="H12" i="123"/>
  <c r="F12" i="123"/>
  <c r="C22" i="123"/>
  <c r="E12" i="123"/>
  <c r="D12" i="123"/>
  <c r="I11" i="123"/>
  <c r="D9" i="123"/>
  <c r="J23" i="117"/>
  <c r="K21" i="122"/>
  <c r="M21" i="122"/>
  <c r="J85" i="99"/>
  <c r="K85" i="99"/>
  <c r="M85" i="99"/>
  <c r="D19" i="99"/>
  <c r="G20" i="95"/>
  <c r="I20" i="95"/>
  <c r="J20" i="95"/>
  <c r="K29" i="121"/>
  <c r="M29" i="121"/>
  <c r="N29" i="121"/>
  <c r="H25" i="101"/>
  <c r="J25" i="101"/>
  <c r="K25" i="101"/>
  <c r="L25" i="101"/>
  <c r="H24" i="117"/>
  <c r="J24" i="117"/>
  <c r="K24" i="117"/>
  <c r="L24" i="117"/>
  <c r="G22" i="117"/>
  <c r="H22" i="117"/>
  <c r="J22" i="117"/>
  <c r="K22" i="117"/>
  <c r="L22" i="117"/>
  <c r="G25" i="96"/>
  <c r="I25" i="96"/>
  <c r="J186" i="99"/>
  <c r="K186" i="99"/>
  <c r="M186" i="99"/>
  <c r="F129" i="99"/>
  <c r="E129" i="99"/>
  <c r="B129" i="99"/>
  <c r="F128" i="99"/>
  <c r="E128" i="99"/>
  <c r="B128" i="99"/>
  <c r="F127" i="99"/>
  <c r="E127" i="99"/>
  <c r="D127" i="99"/>
  <c r="B127" i="99"/>
  <c r="I126" i="99"/>
  <c r="I128" i="99"/>
  <c r="J128" i="99"/>
  <c r="B126" i="99"/>
  <c r="H125" i="99"/>
  <c r="F125" i="99"/>
  <c r="D125" i="99"/>
  <c r="E125" i="99"/>
  <c r="H124" i="99"/>
  <c r="D124" i="99"/>
  <c r="G123" i="99"/>
  <c r="J123" i="99"/>
  <c r="K123" i="99"/>
  <c r="M123" i="99"/>
  <c r="H123" i="99"/>
  <c r="J122" i="99"/>
  <c r="K122" i="99"/>
  <c r="M122" i="99"/>
  <c r="D121" i="99"/>
  <c r="J121" i="99"/>
  <c r="K121" i="99"/>
  <c r="M121" i="99"/>
  <c r="J120" i="99"/>
  <c r="K120" i="99"/>
  <c r="M120" i="99"/>
  <c r="E120" i="99"/>
  <c r="J119" i="99"/>
  <c r="K119" i="99"/>
  <c r="M119" i="99"/>
  <c r="E119" i="99"/>
  <c r="J118" i="99"/>
  <c r="K118" i="99"/>
  <c r="M118" i="99"/>
  <c r="I114" i="99"/>
  <c r="H114" i="99"/>
  <c r="F114" i="99"/>
  <c r="E114" i="99"/>
  <c r="D114" i="99"/>
  <c r="H108" i="99"/>
  <c r="F108" i="99"/>
  <c r="D108" i="99"/>
  <c r="E108" i="99"/>
  <c r="H91" i="99"/>
  <c r="D91" i="99"/>
  <c r="E91" i="99"/>
  <c r="H74" i="99"/>
  <c r="D74" i="99"/>
  <c r="E74" i="99"/>
  <c r="H57" i="99"/>
  <c r="D57" i="99"/>
  <c r="E57" i="99"/>
  <c r="D23" i="99"/>
  <c r="J23" i="99"/>
  <c r="H40" i="99"/>
  <c r="D40" i="99"/>
  <c r="E40" i="99"/>
  <c r="H23" i="99"/>
  <c r="J78" i="123"/>
  <c r="K78" i="123"/>
  <c r="M78" i="123"/>
  <c r="N78" i="123"/>
  <c r="J93" i="123"/>
  <c r="G12" i="123"/>
  <c r="F114" i="123"/>
  <c r="C124" i="123"/>
  <c r="I127" i="123"/>
  <c r="C12" i="123"/>
  <c r="J15" i="123"/>
  <c r="K15" i="123"/>
  <c r="M15" i="123"/>
  <c r="I26" i="123"/>
  <c r="J26" i="123"/>
  <c r="K26" i="123"/>
  <c r="M26" i="123"/>
  <c r="J27" i="123"/>
  <c r="K27" i="123"/>
  <c r="M27" i="123"/>
  <c r="O27" i="123"/>
  <c r="J25" i="123"/>
  <c r="K25" i="123"/>
  <c r="M25" i="123"/>
  <c r="O25" i="123"/>
  <c r="F97" i="123"/>
  <c r="C107" i="123"/>
  <c r="I110" i="123"/>
  <c r="K91" i="123"/>
  <c r="M91" i="123"/>
  <c r="O91" i="123"/>
  <c r="K94" i="123"/>
  <c r="M94" i="123"/>
  <c r="O94" i="123"/>
  <c r="J61" i="123"/>
  <c r="K61" i="123"/>
  <c r="M61" i="123"/>
  <c r="O61" i="123"/>
  <c r="F29" i="123"/>
  <c r="C39" i="123"/>
  <c r="E39" i="123"/>
  <c r="C29" i="123"/>
  <c r="J32" i="123"/>
  <c r="K32" i="123"/>
  <c r="M32" i="123"/>
  <c r="N32" i="123"/>
  <c r="J44" i="123"/>
  <c r="K44" i="123"/>
  <c r="M44" i="123"/>
  <c r="N44" i="123"/>
  <c r="G55" i="123"/>
  <c r="N53" i="123"/>
  <c r="G73" i="123"/>
  <c r="J22" i="123"/>
  <c r="K22" i="123"/>
  <c r="M22" i="123"/>
  <c r="G123" i="123"/>
  <c r="O184" i="123"/>
  <c r="G22" i="123"/>
  <c r="F109" i="123"/>
  <c r="F46" i="123"/>
  <c r="C56" i="123"/>
  <c r="E56" i="123"/>
  <c r="J59" i="123"/>
  <c r="I77" i="123"/>
  <c r="J77" i="123"/>
  <c r="K77" i="123"/>
  <c r="M77" i="123"/>
  <c r="G72" i="123"/>
  <c r="J76" i="123"/>
  <c r="C80" i="123"/>
  <c r="I95" i="123"/>
  <c r="J95" i="123"/>
  <c r="K95" i="123"/>
  <c r="M95" i="123"/>
  <c r="N95" i="123"/>
  <c r="F80" i="123"/>
  <c r="C90" i="123"/>
  <c r="F90" i="123"/>
  <c r="C97" i="123"/>
  <c r="K108" i="123"/>
  <c r="M108" i="123"/>
  <c r="N108" i="123"/>
  <c r="O121" i="123"/>
  <c r="N21" i="123"/>
  <c r="O18" i="123"/>
  <c r="O89" i="123"/>
  <c r="O101" i="123"/>
  <c r="O71" i="123"/>
  <c r="N71" i="123"/>
  <c r="N36" i="123"/>
  <c r="O36" i="123"/>
  <c r="O33" i="123"/>
  <c r="N33" i="123"/>
  <c r="O104" i="123"/>
  <c r="N104" i="123"/>
  <c r="O117" i="123"/>
  <c r="N117" i="123"/>
  <c r="O120" i="123"/>
  <c r="N120" i="123"/>
  <c r="M182" i="123"/>
  <c r="O183" i="123"/>
  <c r="N183" i="123"/>
  <c r="O87" i="123"/>
  <c r="N87" i="123"/>
  <c r="N20" i="123"/>
  <c r="O20" i="123"/>
  <c r="O35" i="123"/>
  <c r="N35" i="123"/>
  <c r="N52" i="123"/>
  <c r="O52" i="123"/>
  <c r="O55" i="123"/>
  <c r="N55" i="123"/>
  <c r="J66" i="123"/>
  <c r="K66" i="123"/>
  <c r="M66" i="123"/>
  <c r="N72" i="123"/>
  <c r="O72" i="123"/>
  <c r="O190" i="123"/>
  <c r="N190" i="123"/>
  <c r="E41" i="123"/>
  <c r="N49" i="123"/>
  <c r="O69" i="123"/>
  <c r="N88" i="123"/>
  <c r="J90" i="123"/>
  <c r="O122" i="123"/>
  <c r="N122" i="123"/>
  <c r="N186" i="123"/>
  <c r="O191" i="123"/>
  <c r="N191" i="123"/>
  <c r="K57" i="123"/>
  <c r="M57" i="123"/>
  <c r="G57" i="123"/>
  <c r="O192" i="123"/>
  <c r="N192" i="123"/>
  <c r="O70" i="123"/>
  <c r="N70" i="123"/>
  <c r="O86" i="123"/>
  <c r="N86" i="123"/>
  <c r="K125" i="123"/>
  <c r="M125" i="123"/>
  <c r="G125" i="123"/>
  <c r="O193" i="123"/>
  <c r="N193" i="123"/>
  <c r="N17" i="123"/>
  <c r="O38" i="123"/>
  <c r="N38" i="123"/>
  <c r="F41" i="123"/>
  <c r="G89" i="123"/>
  <c r="I129" i="123"/>
  <c r="J129" i="123"/>
  <c r="K129" i="123"/>
  <c r="M129" i="123"/>
  <c r="I128" i="123"/>
  <c r="J128" i="123"/>
  <c r="K128" i="123"/>
  <c r="M128" i="123"/>
  <c r="J127" i="123"/>
  <c r="K182" i="123"/>
  <c r="O19" i="123"/>
  <c r="N19" i="123"/>
  <c r="C24" i="123"/>
  <c r="J39" i="123"/>
  <c r="G39" i="123"/>
  <c r="J41" i="123"/>
  <c r="K41" i="123"/>
  <c r="M41" i="123"/>
  <c r="I60" i="123"/>
  <c r="J60" i="123"/>
  <c r="K60" i="123"/>
  <c r="M60" i="123"/>
  <c r="J107" i="123"/>
  <c r="G107" i="123"/>
  <c r="O123" i="123"/>
  <c r="N123" i="123"/>
  <c r="O194" i="123"/>
  <c r="N194" i="123"/>
  <c r="O50" i="123"/>
  <c r="N50" i="123"/>
  <c r="F92" i="123"/>
  <c r="J92" i="123"/>
  <c r="K92" i="123"/>
  <c r="M92" i="123"/>
  <c r="E92" i="123"/>
  <c r="O103" i="123"/>
  <c r="N103" i="123"/>
  <c r="O106" i="123"/>
  <c r="N106" i="123"/>
  <c r="O187" i="123"/>
  <c r="N187" i="123"/>
  <c r="O16" i="123"/>
  <c r="N16" i="123"/>
  <c r="K23" i="123"/>
  <c r="M23" i="123"/>
  <c r="K40" i="123"/>
  <c r="M40" i="123"/>
  <c r="O84" i="123"/>
  <c r="D109" i="123"/>
  <c r="J109" i="123"/>
  <c r="K109" i="123"/>
  <c r="M109" i="123"/>
  <c r="J112" i="123"/>
  <c r="K112" i="123"/>
  <c r="M112" i="123"/>
  <c r="O118" i="123"/>
  <c r="N118" i="123"/>
  <c r="O188" i="123"/>
  <c r="N188" i="123"/>
  <c r="O195" i="123"/>
  <c r="N195" i="123"/>
  <c r="O185" i="123"/>
  <c r="N185" i="123"/>
  <c r="O189" i="123"/>
  <c r="N189" i="123"/>
  <c r="O196" i="123"/>
  <c r="N196" i="123"/>
  <c r="I25" i="123"/>
  <c r="F22" i="123"/>
  <c r="E22" i="123"/>
  <c r="O37" i="123"/>
  <c r="O54" i="123"/>
  <c r="N54" i="123"/>
  <c r="F63" i="123"/>
  <c r="C73" i="123"/>
  <c r="C75" i="123"/>
  <c r="O67" i="123"/>
  <c r="N67" i="123"/>
  <c r="O105" i="123"/>
  <c r="O197" i="123"/>
  <c r="N197" i="123"/>
  <c r="J56" i="123"/>
  <c r="C58" i="123"/>
  <c r="K74" i="123"/>
  <c r="M74" i="123"/>
  <c r="J124" i="123"/>
  <c r="C126" i="123"/>
  <c r="J42" i="123"/>
  <c r="I43" i="123"/>
  <c r="J43" i="123"/>
  <c r="K43" i="123"/>
  <c r="M43" i="123"/>
  <c r="J110" i="123"/>
  <c r="I111" i="123"/>
  <c r="J111" i="123"/>
  <c r="K111" i="123"/>
  <c r="M111" i="123"/>
  <c r="K23" i="117"/>
  <c r="L23" i="117"/>
  <c r="N21" i="122"/>
  <c r="O21" i="122"/>
  <c r="N85" i="99"/>
  <c r="O85" i="99"/>
  <c r="N17" i="99"/>
  <c r="O17" i="99"/>
  <c r="K20" i="95"/>
  <c r="O29" i="121"/>
  <c r="K25" i="96"/>
  <c r="J25" i="96"/>
  <c r="O186" i="99"/>
  <c r="N186" i="99"/>
  <c r="G124" i="99"/>
  <c r="K128" i="99"/>
  <c r="M128" i="99"/>
  <c r="O128" i="99"/>
  <c r="J124" i="99"/>
  <c r="I129" i="99"/>
  <c r="J129" i="99"/>
  <c r="K129" i="99"/>
  <c r="M129" i="99"/>
  <c r="O123" i="99"/>
  <c r="N123" i="99"/>
  <c r="O119" i="99"/>
  <c r="N119" i="99"/>
  <c r="O118" i="99"/>
  <c r="N118" i="99"/>
  <c r="N120" i="99"/>
  <c r="O120" i="99"/>
  <c r="C124" i="99"/>
  <c r="G114" i="99"/>
  <c r="N121" i="99"/>
  <c r="O121" i="99"/>
  <c r="O122" i="99"/>
  <c r="N122" i="99"/>
  <c r="J127" i="99"/>
  <c r="G125" i="99"/>
  <c r="C126" i="99"/>
  <c r="C114" i="99"/>
  <c r="J125" i="99"/>
  <c r="K125" i="99"/>
  <c r="M125" i="99"/>
  <c r="G108" i="99"/>
  <c r="J108" i="99"/>
  <c r="K108" i="99"/>
  <c r="M108" i="99"/>
  <c r="G91" i="99"/>
  <c r="J91" i="99"/>
  <c r="K91" i="99"/>
  <c r="M91" i="99"/>
  <c r="G74" i="99"/>
  <c r="J74" i="99"/>
  <c r="K74" i="99"/>
  <c r="M74" i="99"/>
  <c r="G57" i="99"/>
  <c r="J57" i="99"/>
  <c r="K57" i="99"/>
  <c r="M57" i="99"/>
  <c r="G23" i="99"/>
  <c r="G40" i="99"/>
  <c r="J40" i="99"/>
  <c r="K40" i="99"/>
  <c r="M40" i="99"/>
  <c r="O78" i="123"/>
  <c r="K42" i="123"/>
  <c r="M42" i="123"/>
  <c r="N42" i="123"/>
  <c r="K110" i="123"/>
  <c r="M110" i="123"/>
  <c r="N110" i="123"/>
  <c r="K124" i="123"/>
  <c r="M124" i="123"/>
  <c r="O124" i="123"/>
  <c r="G114" i="123"/>
  <c r="N91" i="123"/>
  <c r="N27" i="123"/>
  <c r="J14" i="123"/>
  <c r="K14" i="123"/>
  <c r="M14" i="123"/>
  <c r="E107" i="123"/>
  <c r="E124" i="123"/>
  <c r="K127" i="123"/>
  <c r="M127" i="123"/>
  <c r="O127" i="123"/>
  <c r="F124" i="123"/>
  <c r="J116" i="123"/>
  <c r="K116" i="123"/>
  <c r="G97" i="123"/>
  <c r="K39" i="123"/>
  <c r="M39" i="123"/>
  <c r="N39" i="123"/>
  <c r="G63" i="123"/>
  <c r="K107" i="123"/>
  <c r="M107" i="123"/>
  <c r="N94" i="123"/>
  <c r="G80" i="123"/>
  <c r="G29" i="123"/>
  <c r="F39" i="123"/>
  <c r="I42" i="123"/>
  <c r="J82" i="123"/>
  <c r="K82" i="123"/>
  <c r="M82" i="123"/>
  <c r="F107" i="123"/>
  <c r="J65" i="123"/>
  <c r="K65" i="123"/>
  <c r="M65" i="123"/>
  <c r="N61" i="123"/>
  <c r="J48" i="123"/>
  <c r="K48" i="123"/>
  <c r="M48" i="123"/>
  <c r="O48" i="123"/>
  <c r="O32" i="123"/>
  <c r="J31" i="123"/>
  <c r="K31" i="123"/>
  <c r="M31" i="123"/>
  <c r="O44" i="123"/>
  <c r="K56" i="123"/>
  <c r="M56" i="123"/>
  <c r="I93" i="123"/>
  <c r="O108" i="123"/>
  <c r="E90" i="123"/>
  <c r="N25" i="123"/>
  <c r="K93" i="123"/>
  <c r="M93" i="123"/>
  <c r="O93" i="123"/>
  <c r="K59" i="123"/>
  <c r="M59" i="123"/>
  <c r="O59" i="123"/>
  <c r="K90" i="123"/>
  <c r="M90" i="123"/>
  <c r="O90" i="123"/>
  <c r="K76" i="123"/>
  <c r="M76" i="123"/>
  <c r="O76" i="123"/>
  <c r="I59" i="123"/>
  <c r="F56" i="123"/>
  <c r="G46" i="123"/>
  <c r="J83" i="123"/>
  <c r="K83" i="123"/>
  <c r="M83" i="123"/>
  <c r="O83" i="123"/>
  <c r="O95" i="123"/>
  <c r="J100" i="123"/>
  <c r="K100" i="123"/>
  <c r="M100" i="123"/>
  <c r="J99" i="123"/>
  <c r="K99" i="123"/>
  <c r="O57" i="123"/>
  <c r="N57" i="123"/>
  <c r="O125" i="123"/>
  <c r="N125" i="123"/>
  <c r="N74" i="123"/>
  <c r="O74" i="123"/>
  <c r="O41" i="123"/>
  <c r="N41" i="123"/>
  <c r="O43" i="123"/>
  <c r="N43" i="123"/>
  <c r="N128" i="123"/>
  <c r="O128" i="123"/>
  <c r="F58" i="123"/>
  <c r="E58" i="123"/>
  <c r="D58" i="123"/>
  <c r="J58" i="123"/>
  <c r="K58" i="123"/>
  <c r="M58" i="123"/>
  <c r="O111" i="123"/>
  <c r="N111" i="123"/>
  <c r="O40" i="123"/>
  <c r="N40" i="123"/>
  <c r="F73" i="123"/>
  <c r="E73" i="123"/>
  <c r="K73" i="123"/>
  <c r="M73" i="123"/>
  <c r="I76" i="123"/>
  <c r="O112" i="123"/>
  <c r="N112" i="123"/>
  <c r="O23" i="123"/>
  <c r="N23" i="123"/>
  <c r="O26" i="123"/>
  <c r="N26" i="123"/>
  <c r="O77" i="123"/>
  <c r="N77" i="123"/>
  <c r="N182" i="123"/>
  <c r="N66" i="123"/>
  <c r="O66" i="123"/>
  <c r="F126" i="123"/>
  <c r="E126" i="123"/>
  <c r="D126" i="123"/>
  <c r="J126" i="123"/>
  <c r="K126" i="123"/>
  <c r="M126" i="123"/>
  <c r="O109" i="123"/>
  <c r="N109" i="123"/>
  <c r="N60" i="123"/>
  <c r="O60" i="123"/>
  <c r="J24" i="123"/>
  <c r="K24" i="123"/>
  <c r="M24" i="123"/>
  <c r="F24" i="123"/>
  <c r="D24" i="123"/>
  <c r="E24" i="123"/>
  <c r="O22" i="123"/>
  <c r="N22" i="123"/>
  <c r="N15" i="123"/>
  <c r="O15" i="123"/>
  <c r="O182" i="123"/>
  <c r="L182" i="123"/>
  <c r="J75" i="123"/>
  <c r="K75" i="123"/>
  <c r="M75" i="123"/>
  <c r="F75" i="123"/>
  <c r="E75" i="123"/>
  <c r="D75" i="123"/>
  <c r="O92" i="123"/>
  <c r="N92" i="123"/>
  <c r="N129" i="123"/>
  <c r="O129" i="123"/>
  <c r="N128" i="99"/>
  <c r="N129" i="99"/>
  <c r="O129" i="99"/>
  <c r="N125" i="99"/>
  <c r="O125" i="99"/>
  <c r="F126" i="99"/>
  <c r="E126" i="99"/>
  <c r="J126" i="99"/>
  <c r="K126" i="99"/>
  <c r="M126" i="99"/>
  <c r="D126" i="99"/>
  <c r="E124" i="99"/>
  <c r="F124" i="99"/>
  <c r="I127" i="99"/>
  <c r="K127" i="99"/>
  <c r="M127" i="99"/>
  <c r="K124" i="99"/>
  <c r="M124" i="99"/>
  <c r="J117" i="99"/>
  <c r="K117" i="99"/>
  <c r="M117" i="99"/>
  <c r="J116" i="99"/>
  <c r="K116" i="99"/>
  <c r="O108" i="99"/>
  <c r="N108" i="99"/>
  <c r="O91" i="99"/>
  <c r="N91" i="99"/>
  <c r="O74" i="99"/>
  <c r="N74" i="99"/>
  <c r="O57" i="99"/>
  <c r="N57" i="99"/>
  <c r="O40" i="99"/>
  <c r="N40" i="99"/>
  <c r="O42" i="123"/>
  <c r="O110" i="123"/>
  <c r="N124" i="123"/>
  <c r="K12" i="123"/>
  <c r="N127" i="123"/>
  <c r="O39" i="123"/>
  <c r="M116" i="123"/>
  <c r="M114" i="123"/>
  <c r="K29" i="123"/>
  <c r="L29" i="123"/>
  <c r="N48" i="123"/>
  <c r="N93" i="123"/>
  <c r="K97" i="123"/>
  <c r="L97" i="123"/>
  <c r="N76" i="123"/>
  <c r="N83" i="123"/>
  <c r="N59" i="123"/>
  <c r="N90" i="123"/>
  <c r="M46" i="123"/>
  <c r="K80" i="123"/>
  <c r="L80" i="123"/>
  <c r="M99" i="123"/>
  <c r="O100" i="123"/>
  <c r="N100" i="123"/>
  <c r="O126" i="123"/>
  <c r="N126" i="123"/>
  <c r="O73" i="123"/>
  <c r="N73" i="123"/>
  <c r="O58" i="123"/>
  <c r="N58" i="123"/>
  <c r="K46" i="123"/>
  <c r="L46" i="123"/>
  <c r="M12" i="123"/>
  <c r="N14" i="123"/>
  <c r="O14" i="123"/>
  <c r="K114" i="123"/>
  <c r="L114" i="123"/>
  <c r="N75" i="123"/>
  <c r="O75" i="123"/>
  <c r="O24" i="123"/>
  <c r="N24" i="123"/>
  <c r="N31" i="123"/>
  <c r="N29" i="123"/>
  <c r="O31" i="123"/>
  <c r="M29" i="123"/>
  <c r="N56" i="123"/>
  <c r="O56" i="123"/>
  <c r="M63" i="123"/>
  <c r="N65" i="123"/>
  <c r="O65" i="123"/>
  <c r="K63" i="123"/>
  <c r="L63" i="123"/>
  <c r="O107" i="123"/>
  <c r="N107" i="123"/>
  <c r="M80" i="123"/>
  <c r="N82" i="123"/>
  <c r="O82" i="123"/>
  <c r="O80" i="123"/>
  <c r="K114" i="99"/>
  <c r="L114" i="99"/>
  <c r="M116" i="99"/>
  <c r="O126" i="99"/>
  <c r="N126" i="99"/>
  <c r="N117" i="99"/>
  <c r="O117" i="99"/>
  <c r="O124" i="99"/>
  <c r="N124" i="99"/>
  <c r="O127" i="99"/>
  <c r="N127" i="99"/>
  <c r="O29" i="123"/>
  <c r="N116" i="123"/>
  <c r="N114" i="123"/>
  <c r="O116" i="123"/>
  <c r="O114" i="123"/>
  <c r="N80" i="123"/>
  <c r="O46" i="123"/>
  <c r="N63" i="123"/>
  <c r="K9" i="123"/>
  <c r="S17" i="104"/>
  <c r="O63" i="123"/>
  <c r="N99" i="123"/>
  <c r="N97" i="123"/>
  <c r="M97" i="123"/>
  <c r="M9" i="123"/>
  <c r="O99" i="123"/>
  <c r="O97" i="123"/>
  <c r="N46" i="123"/>
  <c r="O12" i="123"/>
  <c r="L12" i="123"/>
  <c r="N12" i="123"/>
  <c r="M114" i="99"/>
  <c r="O116" i="99"/>
  <c r="O114" i="99"/>
  <c r="N116" i="99"/>
  <c r="N114" i="99"/>
  <c r="N9" i="123"/>
  <c r="O9" i="123"/>
  <c r="L9" i="123"/>
  <c r="E23" i="99"/>
  <c r="G41" i="98"/>
  <c r="H41" i="98"/>
  <c r="G42" i="98"/>
  <c r="H42" i="98"/>
  <c r="G43" i="98"/>
  <c r="H43" i="98"/>
  <c r="H40" i="98"/>
  <c r="G40" i="98"/>
  <c r="K20" i="122"/>
  <c r="M20" i="122"/>
  <c r="O20" i="122"/>
  <c r="T17" i="104"/>
  <c r="U17" i="104"/>
  <c r="K23" i="99"/>
  <c r="M23" i="99"/>
  <c r="N20" i="122"/>
  <c r="O23" i="99"/>
  <c r="N23" i="99"/>
  <c r="C44" i="98"/>
  <c r="J16" i="99"/>
  <c r="C3" i="95"/>
  <c r="K48" i="122"/>
  <c r="M48" i="122"/>
  <c r="N48" i="122"/>
  <c r="K47" i="122"/>
  <c r="M47" i="122"/>
  <c r="K46" i="122"/>
  <c r="M46" i="122"/>
  <c r="O46" i="122"/>
  <c r="K45" i="122"/>
  <c r="M45" i="122"/>
  <c r="K44" i="122"/>
  <c r="M44" i="122"/>
  <c r="O44" i="122"/>
  <c r="K43" i="122"/>
  <c r="M43" i="122"/>
  <c r="K42" i="122"/>
  <c r="M42" i="122"/>
  <c r="K41" i="122"/>
  <c r="M41" i="122"/>
  <c r="O41" i="122"/>
  <c r="J40" i="122"/>
  <c r="K40" i="122"/>
  <c r="M40" i="122"/>
  <c r="J39" i="122"/>
  <c r="K39" i="122"/>
  <c r="M39" i="122"/>
  <c r="J38" i="122"/>
  <c r="K38" i="122"/>
  <c r="K34" i="122"/>
  <c r="M34" i="122"/>
  <c r="O34" i="122"/>
  <c r="K33" i="122"/>
  <c r="M33" i="122"/>
  <c r="K32" i="122"/>
  <c r="M32" i="122"/>
  <c r="O32" i="122"/>
  <c r="K31" i="122"/>
  <c r="M31" i="122"/>
  <c r="K30" i="122"/>
  <c r="M30" i="122"/>
  <c r="K29" i="122"/>
  <c r="M29" i="122"/>
  <c r="K28" i="122"/>
  <c r="M28" i="122"/>
  <c r="O28" i="122"/>
  <c r="K27" i="122"/>
  <c r="M27" i="122"/>
  <c r="K26" i="122"/>
  <c r="M26" i="122"/>
  <c r="K25" i="122"/>
  <c r="K24" i="122"/>
  <c r="M24" i="122"/>
  <c r="O24" i="122"/>
  <c r="K23" i="122"/>
  <c r="M23" i="122"/>
  <c r="K22" i="122"/>
  <c r="M22" i="122"/>
  <c r="O22" i="122"/>
  <c r="K18" i="122"/>
  <c r="M18" i="122"/>
  <c r="O18" i="122"/>
  <c r="K17" i="122"/>
  <c r="M17" i="122"/>
  <c r="K16" i="122"/>
  <c r="M16" i="122"/>
  <c r="O16" i="122"/>
  <c r="K15" i="122"/>
  <c r="M15" i="122"/>
  <c r="K14" i="122"/>
  <c r="I12" i="122"/>
  <c r="G12" i="122"/>
  <c r="E12" i="122"/>
  <c r="O7" i="122"/>
  <c r="H7" i="122"/>
  <c r="D7" i="122"/>
  <c r="H5" i="122"/>
  <c r="D5" i="122"/>
  <c r="H3" i="122"/>
  <c r="D3" i="122"/>
  <c r="F24" i="72"/>
  <c r="F25" i="72"/>
  <c r="I79" i="99"/>
  <c r="F91" i="99"/>
  <c r="I62" i="99"/>
  <c r="F74" i="99"/>
  <c r="I45" i="99"/>
  <c r="F57" i="99"/>
  <c r="I28" i="99"/>
  <c r="F40" i="99"/>
  <c r="I11" i="99"/>
  <c r="F23" i="99"/>
  <c r="K31" i="121"/>
  <c r="K30" i="121"/>
  <c r="O7" i="120"/>
  <c r="D7" i="120"/>
  <c r="O7" i="121"/>
  <c r="D7" i="121"/>
  <c r="L7" i="101"/>
  <c r="C7" i="101"/>
  <c r="L7" i="117"/>
  <c r="C7" i="117"/>
  <c r="K7" i="72"/>
  <c r="C7" i="72"/>
  <c r="K7" i="95"/>
  <c r="C7" i="95"/>
  <c r="K8" i="96"/>
  <c r="C8" i="96"/>
  <c r="F67" i="96"/>
  <c r="F40" i="96"/>
  <c r="F41" i="96"/>
  <c r="F35" i="96"/>
  <c r="F39" i="96"/>
  <c r="G39" i="96"/>
  <c r="M25" i="122"/>
  <c r="O25" i="122"/>
  <c r="K12" i="122"/>
  <c r="N45" i="122"/>
  <c r="O45" i="122"/>
  <c r="N47" i="122"/>
  <c r="O47" i="122"/>
  <c r="N44" i="122"/>
  <c r="N46" i="122"/>
  <c r="O48" i="122"/>
  <c r="N41" i="122"/>
  <c r="N43" i="122"/>
  <c r="O43" i="122"/>
  <c r="N42" i="122"/>
  <c r="O42" i="122"/>
  <c r="N32" i="122"/>
  <c r="N34" i="122"/>
  <c r="N24" i="122"/>
  <c r="O26" i="122"/>
  <c r="N26" i="122"/>
  <c r="O30" i="122"/>
  <c r="N30" i="122"/>
  <c r="N28" i="122"/>
  <c r="N18" i="122"/>
  <c r="N16" i="122"/>
  <c r="N22" i="122"/>
  <c r="H12" i="122"/>
  <c r="M14" i="122"/>
  <c r="M12" i="122"/>
  <c r="O33" i="122"/>
  <c r="N33" i="122"/>
  <c r="O29" i="122"/>
  <c r="N29" i="122"/>
  <c r="O23" i="122"/>
  <c r="N23" i="122"/>
  <c r="O27" i="122"/>
  <c r="N27" i="122"/>
  <c r="O31" i="122"/>
  <c r="N31" i="122"/>
  <c r="O40" i="122"/>
  <c r="N40" i="122"/>
  <c r="O15" i="122"/>
  <c r="N15" i="122"/>
  <c r="O17" i="122"/>
  <c r="N17" i="122"/>
  <c r="O39" i="122"/>
  <c r="N39" i="122"/>
  <c r="M38" i="122"/>
  <c r="K37" i="122"/>
  <c r="K7" i="71"/>
  <c r="K7" i="118"/>
  <c r="C7" i="118"/>
  <c r="D104" i="99"/>
  <c r="D36" i="99"/>
  <c r="D53" i="99"/>
  <c r="N25" i="122"/>
  <c r="K9" i="122"/>
  <c r="S21" i="104"/>
  <c r="N14" i="122"/>
  <c r="O37" i="122"/>
  <c r="L37" i="122"/>
  <c r="O14" i="122"/>
  <c r="O12" i="122"/>
  <c r="O38" i="122"/>
  <c r="N38" i="122"/>
  <c r="N37" i="122"/>
  <c r="M37" i="122"/>
  <c r="G22" i="101"/>
  <c r="G23" i="101"/>
  <c r="H23" i="101"/>
  <c r="AQ117" i="90"/>
  <c r="AQ116" i="90"/>
  <c r="AQ114" i="90"/>
  <c r="AQ112" i="90"/>
  <c r="AQ121" i="90"/>
  <c r="AQ120" i="90"/>
  <c r="AQ119" i="90"/>
  <c r="AQ118" i="90"/>
  <c r="AQ115" i="90"/>
  <c r="AQ113" i="90"/>
  <c r="N12" i="122"/>
  <c r="N9" i="122"/>
  <c r="T21" i="104"/>
  <c r="U21" i="104"/>
  <c r="M9" i="122"/>
  <c r="E9" i="122"/>
  <c r="O9" i="122"/>
  <c r="L12" i="122"/>
  <c r="J23" i="101"/>
  <c r="K23" i="101"/>
  <c r="L23" i="101"/>
  <c r="L9" i="122"/>
  <c r="F28" i="95"/>
  <c r="F27" i="95"/>
  <c r="K191" i="99"/>
  <c r="K14" i="121"/>
  <c r="K15" i="121"/>
  <c r="M15" i="121"/>
  <c r="K16" i="121"/>
  <c r="M16" i="121"/>
  <c r="K17" i="121"/>
  <c r="M17" i="121"/>
  <c r="K18" i="121"/>
  <c r="M18" i="121"/>
  <c r="K19" i="121"/>
  <c r="M19" i="121"/>
  <c r="K47" i="121"/>
  <c r="M47" i="121"/>
  <c r="O47" i="121"/>
  <c r="K46" i="121"/>
  <c r="M46" i="121"/>
  <c r="K45" i="121"/>
  <c r="M45" i="121"/>
  <c r="O45" i="121"/>
  <c r="K44" i="121"/>
  <c r="M44" i="121"/>
  <c r="K43" i="121"/>
  <c r="M43" i="121"/>
  <c r="O43" i="121"/>
  <c r="K42" i="121"/>
  <c r="M42" i="121"/>
  <c r="K41" i="121"/>
  <c r="M41" i="121"/>
  <c r="O41" i="121"/>
  <c r="K40" i="121"/>
  <c r="M40" i="121"/>
  <c r="J39" i="121"/>
  <c r="K39" i="121"/>
  <c r="M39" i="121"/>
  <c r="J38" i="121"/>
  <c r="K38" i="121"/>
  <c r="M38" i="121"/>
  <c r="J37" i="121"/>
  <c r="K37" i="121"/>
  <c r="K33" i="121"/>
  <c r="M33" i="121"/>
  <c r="K32" i="121"/>
  <c r="M32" i="121"/>
  <c r="M31" i="121"/>
  <c r="M30" i="121"/>
  <c r="K28" i="121"/>
  <c r="M28" i="121"/>
  <c r="K27" i="121"/>
  <c r="M27" i="121"/>
  <c r="K26" i="121"/>
  <c r="M26" i="121"/>
  <c r="K25" i="121"/>
  <c r="M25" i="121"/>
  <c r="K24" i="121"/>
  <c r="M24" i="121"/>
  <c r="K23" i="121"/>
  <c r="M23" i="121"/>
  <c r="K22" i="121"/>
  <c r="M22" i="121"/>
  <c r="K21" i="121"/>
  <c r="M21" i="121"/>
  <c r="K20" i="121"/>
  <c r="M20" i="121"/>
  <c r="I12" i="121"/>
  <c r="G12" i="121"/>
  <c r="E12" i="121"/>
  <c r="H7" i="121"/>
  <c r="H5" i="121"/>
  <c r="D5" i="121"/>
  <c r="H3" i="121"/>
  <c r="D3" i="121"/>
  <c r="O32" i="121"/>
  <c r="N32" i="121"/>
  <c r="H12" i="121"/>
  <c r="O33" i="121"/>
  <c r="N33" i="121"/>
  <c r="O27" i="121"/>
  <c r="N27" i="121"/>
  <c r="N20" i="121"/>
  <c r="O20" i="121"/>
  <c r="K36" i="121"/>
  <c r="L36" i="121"/>
  <c r="M37" i="121"/>
  <c r="O21" i="121"/>
  <c r="N21" i="121"/>
  <c r="O38" i="121"/>
  <c r="N38" i="121"/>
  <c r="O31" i="121"/>
  <c r="N31" i="121"/>
  <c r="N40" i="121"/>
  <c r="O40" i="121"/>
  <c r="O16" i="121"/>
  <c r="N16" i="121"/>
  <c r="N24" i="121"/>
  <c r="O24" i="121"/>
  <c r="O46" i="121"/>
  <c r="N46" i="121"/>
  <c r="O19" i="121"/>
  <c r="N19" i="121"/>
  <c r="N28" i="121"/>
  <c r="O28" i="121"/>
  <c r="O39" i="121"/>
  <c r="N39" i="121"/>
  <c r="O23" i="121"/>
  <c r="N23" i="121"/>
  <c r="O17" i="121"/>
  <c r="N17" i="121"/>
  <c r="O25" i="121"/>
  <c r="N25" i="121"/>
  <c r="N30" i="121"/>
  <c r="O30" i="121"/>
  <c r="N44" i="121"/>
  <c r="O44" i="121"/>
  <c r="O22" i="121"/>
  <c r="N22" i="121"/>
  <c r="O15" i="121"/>
  <c r="N15" i="121"/>
  <c r="O18" i="121"/>
  <c r="N18" i="121"/>
  <c r="O26" i="121"/>
  <c r="N26" i="121"/>
  <c r="N42" i="121"/>
  <c r="O42" i="121"/>
  <c r="M14" i="121"/>
  <c r="K12" i="121"/>
  <c r="N41" i="121"/>
  <c r="N43" i="121"/>
  <c r="N45" i="121"/>
  <c r="N47" i="121"/>
  <c r="J35" i="99"/>
  <c r="J52" i="99"/>
  <c r="J69" i="99"/>
  <c r="J86" i="99"/>
  <c r="D39" i="99"/>
  <c r="O36" i="121"/>
  <c r="K9" i="121"/>
  <c r="S24" i="104"/>
  <c r="M12" i="121"/>
  <c r="N14" i="121"/>
  <c r="N12" i="121"/>
  <c r="O14" i="121"/>
  <c r="O12" i="121"/>
  <c r="L12" i="121"/>
  <c r="O37" i="121"/>
  <c r="N37" i="121"/>
  <c r="N36" i="121"/>
  <c r="M36" i="121"/>
  <c r="K46" i="120"/>
  <c r="M46" i="120"/>
  <c r="K45" i="120"/>
  <c r="M45" i="120"/>
  <c r="K44" i="120"/>
  <c r="M44" i="120"/>
  <c r="K43" i="120"/>
  <c r="M43" i="120"/>
  <c r="K42" i="120"/>
  <c r="M42" i="120"/>
  <c r="K41" i="120"/>
  <c r="M41" i="120"/>
  <c r="K40" i="120"/>
  <c r="M40" i="120"/>
  <c r="K39" i="120"/>
  <c r="M39" i="120"/>
  <c r="J38" i="120"/>
  <c r="K38" i="120"/>
  <c r="M38" i="120"/>
  <c r="J37" i="120"/>
  <c r="K37" i="120"/>
  <c r="M37" i="120"/>
  <c r="J36" i="120"/>
  <c r="K36" i="120"/>
  <c r="K32" i="120"/>
  <c r="M32" i="120"/>
  <c r="K31" i="120"/>
  <c r="M31" i="120"/>
  <c r="J30" i="120"/>
  <c r="K30" i="120"/>
  <c r="M30" i="120"/>
  <c r="K29" i="120"/>
  <c r="M29" i="120"/>
  <c r="J28" i="120"/>
  <c r="K28" i="120"/>
  <c r="M28" i="120"/>
  <c r="K27" i="120"/>
  <c r="M27" i="120"/>
  <c r="O27" i="120"/>
  <c r="K26" i="120"/>
  <c r="M26" i="120"/>
  <c r="N26" i="120"/>
  <c r="K25" i="120"/>
  <c r="M25" i="120"/>
  <c r="O25" i="120"/>
  <c r="K24" i="120"/>
  <c r="M24" i="120"/>
  <c r="N24" i="120"/>
  <c r="K23" i="120"/>
  <c r="M23" i="120"/>
  <c r="N23" i="120"/>
  <c r="K22" i="120"/>
  <c r="M22" i="120"/>
  <c r="O22" i="120"/>
  <c r="K21" i="120"/>
  <c r="M21" i="120"/>
  <c r="N21" i="120"/>
  <c r="K20" i="120"/>
  <c r="M20" i="120"/>
  <c r="O20" i="120"/>
  <c r="K19" i="120"/>
  <c r="M19" i="120"/>
  <c r="N19" i="120"/>
  <c r="K18" i="120"/>
  <c r="M18" i="120"/>
  <c r="O18" i="120"/>
  <c r="K17" i="120"/>
  <c r="M17" i="120"/>
  <c r="N17" i="120"/>
  <c r="K16" i="120"/>
  <c r="M16" i="120"/>
  <c r="O16" i="120"/>
  <c r="K15" i="120"/>
  <c r="M15" i="120"/>
  <c r="N15" i="120"/>
  <c r="K14" i="120"/>
  <c r="M14" i="120"/>
  <c r="O14" i="120"/>
  <c r="I12" i="120"/>
  <c r="G12" i="120"/>
  <c r="E12" i="120"/>
  <c r="H7" i="120"/>
  <c r="H5" i="120"/>
  <c r="D5" i="120"/>
  <c r="H3" i="120"/>
  <c r="D3" i="120"/>
  <c r="N9" i="121"/>
  <c r="T24" i="104"/>
  <c r="U24" i="104"/>
  <c r="O9" i="121"/>
  <c r="M9" i="121"/>
  <c r="E9" i="121"/>
  <c r="L12" i="120"/>
  <c r="H12" i="120"/>
  <c r="K12" i="120"/>
  <c r="M36" i="120"/>
  <c r="K35" i="120"/>
  <c r="L35" i="120"/>
  <c r="N30" i="120"/>
  <c r="O30" i="120"/>
  <c r="O40" i="120"/>
  <c r="N40" i="120"/>
  <c r="O44" i="120"/>
  <c r="N44" i="120"/>
  <c r="O29" i="120"/>
  <c r="N29" i="120"/>
  <c r="O39" i="120"/>
  <c r="N39" i="120"/>
  <c r="O43" i="120"/>
  <c r="N43" i="120"/>
  <c r="N31" i="120"/>
  <c r="O31" i="120"/>
  <c r="O37" i="120"/>
  <c r="N37" i="120"/>
  <c r="O41" i="120"/>
  <c r="N41" i="120"/>
  <c r="O45" i="120"/>
  <c r="N45" i="120"/>
  <c r="O28" i="120"/>
  <c r="M12" i="120"/>
  <c r="N28" i="120"/>
  <c r="N32" i="120"/>
  <c r="O32" i="120"/>
  <c r="O38" i="120"/>
  <c r="N38" i="120"/>
  <c r="O42" i="120"/>
  <c r="N42" i="120"/>
  <c r="O46" i="120"/>
  <c r="N46" i="120"/>
  <c r="N14" i="120"/>
  <c r="N16" i="120"/>
  <c r="N18" i="120"/>
  <c r="N20" i="120"/>
  <c r="N22" i="120"/>
  <c r="N25" i="120"/>
  <c r="N27" i="120"/>
  <c r="O15" i="120"/>
  <c r="O17" i="120"/>
  <c r="O19" i="120"/>
  <c r="O21" i="120"/>
  <c r="O23" i="120"/>
  <c r="O24" i="120"/>
  <c r="O26" i="120"/>
  <c r="L9" i="121"/>
  <c r="K9" i="120"/>
  <c r="S25" i="104"/>
  <c r="O12" i="120"/>
  <c r="O35" i="120"/>
  <c r="N12" i="120"/>
  <c r="M35" i="120"/>
  <c r="O36" i="120"/>
  <c r="N36" i="120"/>
  <c r="N35" i="120"/>
  <c r="M9" i="120"/>
  <c r="E9" i="120"/>
  <c r="O9" i="120"/>
  <c r="N9" i="120"/>
  <c r="T25" i="104"/>
  <c r="U25" i="104"/>
  <c r="L9" i="120"/>
  <c r="G16" i="101"/>
  <c r="G15" i="101"/>
  <c r="G19" i="101"/>
  <c r="L32" i="97"/>
  <c r="L31" i="97"/>
  <c r="L29" i="97"/>
  <c r="L27" i="97"/>
  <c r="L26" i="97"/>
  <c r="L25" i="97"/>
  <c r="L24" i="97"/>
  <c r="L23" i="97"/>
  <c r="L22" i="97"/>
  <c r="L21" i="97"/>
  <c r="L20" i="97"/>
  <c r="L19" i="97"/>
  <c r="L18" i="97"/>
  <c r="L17" i="97"/>
  <c r="L16" i="97"/>
  <c r="L15" i="97"/>
  <c r="L14" i="97"/>
  <c r="B25" i="99"/>
  <c r="R16" i="96"/>
  <c r="F56" i="96"/>
  <c r="F50" i="96"/>
  <c r="F51" i="96"/>
  <c r="F52" i="96"/>
  <c r="F53" i="96"/>
  <c r="F54" i="96"/>
  <c r="F55" i="96"/>
  <c r="F49" i="96"/>
  <c r="G49" i="96"/>
  <c r="I49" i="96"/>
  <c r="G41" i="96"/>
  <c r="I41" i="96"/>
  <c r="J41" i="96"/>
  <c r="F42" i="96"/>
  <c r="G42" i="96"/>
  <c r="I42" i="96"/>
  <c r="F43" i="96"/>
  <c r="G43" i="96"/>
  <c r="I43" i="96"/>
  <c r="J43" i="96"/>
  <c r="F44" i="96"/>
  <c r="G44" i="96"/>
  <c r="I44" i="96"/>
  <c r="K44" i="96"/>
  <c r="F45" i="96"/>
  <c r="G45" i="96"/>
  <c r="I45" i="96"/>
  <c r="J45" i="96"/>
  <c r="F46" i="96"/>
  <c r="G46" i="96"/>
  <c r="I46" i="96"/>
  <c r="F47" i="96"/>
  <c r="G47" i="96"/>
  <c r="I47" i="96"/>
  <c r="G40" i="96"/>
  <c r="I40" i="96"/>
  <c r="J40" i="96"/>
  <c r="K49" i="96"/>
  <c r="J49" i="96"/>
  <c r="J42" i="96"/>
  <c r="K42" i="96"/>
  <c r="J46" i="96"/>
  <c r="K46" i="96"/>
  <c r="J47" i="96"/>
  <c r="K47" i="96"/>
  <c r="J44" i="96"/>
  <c r="K40" i="96"/>
  <c r="K43" i="96"/>
  <c r="K45" i="96"/>
  <c r="K41" i="96"/>
  <c r="M56" i="96"/>
  <c r="M54" i="96"/>
  <c r="M53" i="96"/>
  <c r="M52" i="96"/>
  <c r="M51" i="96"/>
  <c r="M50" i="96"/>
  <c r="M49" i="96"/>
  <c r="G56" i="96"/>
  <c r="I56" i="96"/>
  <c r="J56" i="96"/>
  <c r="G55" i="96"/>
  <c r="I55" i="96"/>
  <c r="J55" i="96"/>
  <c r="G54" i="96"/>
  <c r="I54" i="96"/>
  <c r="J54" i="96"/>
  <c r="G53" i="96"/>
  <c r="I53" i="96"/>
  <c r="J53" i="96"/>
  <c r="G52" i="96"/>
  <c r="I52" i="96"/>
  <c r="J52" i="96"/>
  <c r="G51" i="96"/>
  <c r="I51" i="96"/>
  <c r="J51" i="96"/>
  <c r="G50" i="96"/>
  <c r="I50" i="96"/>
  <c r="J50" i="96"/>
  <c r="M55" i="96"/>
  <c r="O14" i="96"/>
  <c r="K50" i="96"/>
  <c r="K56" i="96"/>
  <c r="K51" i="96"/>
  <c r="K53" i="96"/>
  <c r="K55" i="96"/>
  <c r="K54" i="96"/>
  <c r="K52" i="96"/>
  <c r="G35" i="96"/>
  <c r="I35" i="96"/>
  <c r="F36" i="96"/>
  <c r="G36" i="96"/>
  <c r="I36" i="96"/>
  <c r="J36" i="96"/>
  <c r="F37" i="96"/>
  <c r="G37" i="96"/>
  <c r="I37" i="96"/>
  <c r="K35" i="96"/>
  <c r="J35" i="96"/>
  <c r="J37" i="96"/>
  <c r="K37" i="96"/>
  <c r="K36" i="96"/>
  <c r="G21" i="117"/>
  <c r="B27" i="99"/>
  <c r="B112" i="99"/>
  <c r="B95" i="99"/>
  <c r="B78" i="99"/>
  <c r="B61" i="99"/>
  <c r="B44" i="99"/>
  <c r="G66" i="118"/>
  <c r="I66" i="118"/>
  <c r="G65" i="118"/>
  <c r="I65" i="118"/>
  <c r="K65" i="118"/>
  <c r="G64" i="118"/>
  <c r="I64" i="118"/>
  <c r="K64" i="118"/>
  <c r="G63" i="118"/>
  <c r="I63" i="118"/>
  <c r="K63" i="118"/>
  <c r="G62" i="118"/>
  <c r="I62" i="118"/>
  <c r="K62" i="118"/>
  <c r="G61" i="118"/>
  <c r="I61" i="118"/>
  <c r="J61" i="118"/>
  <c r="G60" i="118"/>
  <c r="I60" i="118"/>
  <c r="F59" i="118"/>
  <c r="G59" i="118"/>
  <c r="I59" i="118"/>
  <c r="F58" i="118"/>
  <c r="G58" i="118"/>
  <c r="I58" i="118"/>
  <c r="F57" i="118"/>
  <c r="G54" i="118"/>
  <c r="I54" i="118"/>
  <c r="G53" i="118"/>
  <c r="I53" i="118"/>
  <c r="K53" i="118"/>
  <c r="G52" i="118"/>
  <c r="I52" i="118"/>
  <c r="J52" i="118"/>
  <c r="G51" i="118"/>
  <c r="I51" i="118"/>
  <c r="G50" i="118"/>
  <c r="I50" i="118"/>
  <c r="G49" i="118"/>
  <c r="I49" i="118"/>
  <c r="K49" i="118"/>
  <c r="G48" i="118"/>
  <c r="I48" i="118"/>
  <c r="J48" i="118"/>
  <c r="G47" i="118"/>
  <c r="I47" i="118"/>
  <c r="G46" i="118"/>
  <c r="I46" i="118"/>
  <c r="G45" i="118"/>
  <c r="I45" i="118"/>
  <c r="K45" i="118"/>
  <c r="G44" i="118"/>
  <c r="I44" i="118"/>
  <c r="J44" i="118"/>
  <c r="G43" i="118"/>
  <c r="I43" i="118"/>
  <c r="G42" i="118"/>
  <c r="I42" i="118"/>
  <c r="G41" i="118"/>
  <c r="I41" i="118"/>
  <c r="K41" i="118"/>
  <c r="G40" i="118"/>
  <c r="I40" i="118"/>
  <c r="J40" i="118"/>
  <c r="G39" i="118"/>
  <c r="I39" i="118"/>
  <c r="G38" i="118"/>
  <c r="I38" i="118"/>
  <c r="G37" i="118"/>
  <c r="I37" i="118"/>
  <c r="K37" i="118"/>
  <c r="F36" i="118"/>
  <c r="G36" i="118"/>
  <c r="I36" i="118"/>
  <c r="J36" i="118"/>
  <c r="G35" i="118"/>
  <c r="I35" i="118"/>
  <c r="G34" i="118"/>
  <c r="I34" i="118"/>
  <c r="J34" i="118"/>
  <c r="G33" i="118"/>
  <c r="I33" i="118"/>
  <c r="J33" i="118"/>
  <c r="G32" i="118"/>
  <c r="I32" i="118"/>
  <c r="G31" i="118"/>
  <c r="I31" i="118"/>
  <c r="K31" i="118"/>
  <c r="G30" i="118"/>
  <c r="I30" i="118"/>
  <c r="J30" i="118"/>
  <c r="G29" i="118"/>
  <c r="I29" i="118"/>
  <c r="J29" i="118"/>
  <c r="G28" i="118"/>
  <c r="I28" i="118"/>
  <c r="G27" i="118"/>
  <c r="I27" i="118"/>
  <c r="K27" i="118"/>
  <c r="G26" i="118"/>
  <c r="I26" i="118"/>
  <c r="G25" i="118"/>
  <c r="I25" i="118"/>
  <c r="K25" i="118"/>
  <c r="G24" i="118"/>
  <c r="I24" i="118"/>
  <c r="G23" i="118"/>
  <c r="I23" i="118"/>
  <c r="K23" i="118"/>
  <c r="G22" i="118"/>
  <c r="I22" i="118"/>
  <c r="G21" i="118"/>
  <c r="I21" i="118"/>
  <c r="J21" i="118"/>
  <c r="G20" i="118"/>
  <c r="I20" i="118"/>
  <c r="G19" i="118"/>
  <c r="I19" i="118"/>
  <c r="K19" i="118"/>
  <c r="F18" i="118"/>
  <c r="G18" i="118"/>
  <c r="I18" i="118"/>
  <c r="G17" i="118"/>
  <c r="I17" i="118"/>
  <c r="K17" i="118"/>
  <c r="G16" i="118"/>
  <c r="I16" i="118"/>
  <c r="G15" i="118"/>
  <c r="I15" i="118"/>
  <c r="J15" i="118"/>
  <c r="G14" i="118"/>
  <c r="I14" i="118"/>
  <c r="K14" i="118"/>
  <c r="G13" i="118"/>
  <c r="F7" i="118"/>
  <c r="F5" i="118"/>
  <c r="C5" i="118"/>
  <c r="F3" i="118"/>
  <c r="C3" i="118"/>
  <c r="G57" i="118"/>
  <c r="I57" i="118"/>
  <c r="K16" i="118"/>
  <c r="J16" i="118"/>
  <c r="J22" i="118"/>
  <c r="K22" i="118"/>
  <c r="J25" i="118"/>
  <c r="J37" i="118"/>
  <c r="J53" i="118"/>
  <c r="J63" i="118"/>
  <c r="J45" i="118"/>
  <c r="J18" i="118"/>
  <c r="K18" i="118"/>
  <c r="J41" i="118"/>
  <c r="J49" i="118"/>
  <c r="K30" i="118"/>
  <c r="K34" i="118"/>
  <c r="J65" i="118"/>
  <c r="J31" i="118"/>
  <c r="K61" i="118"/>
  <c r="K32" i="118"/>
  <c r="J32" i="118"/>
  <c r="K28" i="118"/>
  <c r="J28" i="118"/>
  <c r="J66" i="118"/>
  <c r="K66" i="118"/>
  <c r="G12" i="118"/>
  <c r="I13" i="118"/>
  <c r="J17" i="118"/>
  <c r="J19" i="118"/>
  <c r="K29" i="118"/>
  <c r="K33" i="118"/>
  <c r="K36" i="118"/>
  <c r="K38" i="118"/>
  <c r="J38" i="118"/>
  <c r="K40" i="118"/>
  <c r="K42" i="118"/>
  <c r="J42" i="118"/>
  <c r="K44" i="118"/>
  <c r="K46" i="118"/>
  <c r="J46" i="118"/>
  <c r="K48" i="118"/>
  <c r="K50" i="118"/>
  <c r="J50" i="118"/>
  <c r="K52" i="118"/>
  <c r="K54" i="118"/>
  <c r="J54" i="118"/>
  <c r="K59" i="118"/>
  <c r="J59" i="118"/>
  <c r="J14" i="118"/>
  <c r="K21" i="118"/>
  <c r="J23" i="118"/>
  <c r="J27" i="118"/>
  <c r="K39" i="118"/>
  <c r="J39" i="118"/>
  <c r="K43" i="118"/>
  <c r="J43" i="118"/>
  <c r="K47" i="118"/>
  <c r="J47" i="118"/>
  <c r="K51" i="118"/>
  <c r="J51" i="118"/>
  <c r="K60" i="118"/>
  <c r="J60" i="118"/>
  <c r="J62" i="118"/>
  <c r="J64" i="118"/>
  <c r="K24" i="118"/>
  <c r="J24" i="118"/>
  <c r="K15" i="118"/>
  <c r="K20" i="118"/>
  <c r="J20" i="118"/>
  <c r="K26" i="118"/>
  <c r="J26" i="118"/>
  <c r="K35" i="118"/>
  <c r="J35" i="118"/>
  <c r="J58" i="118"/>
  <c r="K58" i="118"/>
  <c r="K61" i="117"/>
  <c r="K53" i="117"/>
  <c r="H29" i="117"/>
  <c r="J29" i="117"/>
  <c r="K29" i="117"/>
  <c r="L29" i="117"/>
  <c r="H37" i="117"/>
  <c r="J37" i="117"/>
  <c r="K37" i="117"/>
  <c r="L37" i="117"/>
  <c r="H36" i="117"/>
  <c r="J36" i="117"/>
  <c r="K36" i="117"/>
  <c r="L36" i="117"/>
  <c r="H35" i="117"/>
  <c r="J35" i="117"/>
  <c r="K35" i="117"/>
  <c r="L35" i="117"/>
  <c r="G33" i="117"/>
  <c r="H33" i="117"/>
  <c r="J33" i="117"/>
  <c r="K33" i="117"/>
  <c r="L33" i="117"/>
  <c r="G32" i="117"/>
  <c r="H32" i="117"/>
  <c r="J32" i="117"/>
  <c r="K32" i="117"/>
  <c r="L32" i="117"/>
  <c r="J31" i="117"/>
  <c r="K31" i="117"/>
  <c r="L31" i="117"/>
  <c r="H30" i="117"/>
  <c r="J30" i="117"/>
  <c r="K30" i="117"/>
  <c r="L30" i="117"/>
  <c r="H28" i="117"/>
  <c r="J28" i="117"/>
  <c r="K28" i="117"/>
  <c r="L28" i="117"/>
  <c r="H27" i="117"/>
  <c r="J27" i="117"/>
  <c r="K27" i="117"/>
  <c r="L27" i="117"/>
  <c r="H26" i="117"/>
  <c r="J26" i="117"/>
  <c r="K26" i="117"/>
  <c r="L26" i="117"/>
  <c r="H25" i="117"/>
  <c r="J25" i="117"/>
  <c r="K25" i="117"/>
  <c r="L25" i="117"/>
  <c r="H21" i="117"/>
  <c r="J21" i="117"/>
  <c r="K21" i="117"/>
  <c r="L21" i="117"/>
  <c r="H20" i="117"/>
  <c r="J20" i="117"/>
  <c r="K20" i="117"/>
  <c r="L20" i="117"/>
  <c r="H19" i="117"/>
  <c r="J19" i="117"/>
  <c r="K19" i="117"/>
  <c r="L19" i="117"/>
  <c r="H18" i="117"/>
  <c r="J18" i="117"/>
  <c r="K18" i="117"/>
  <c r="L18" i="117"/>
  <c r="H17" i="117"/>
  <c r="J17" i="117"/>
  <c r="K17" i="117"/>
  <c r="L17" i="117"/>
  <c r="H16" i="117"/>
  <c r="J16" i="117"/>
  <c r="K16" i="117"/>
  <c r="L16" i="117"/>
  <c r="G15" i="117"/>
  <c r="H15" i="117"/>
  <c r="G7" i="117"/>
  <c r="G5" i="117"/>
  <c r="C5" i="117"/>
  <c r="G3" i="117"/>
  <c r="C3" i="117"/>
  <c r="G56" i="118"/>
  <c r="G9" i="118"/>
  <c r="J57" i="118"/>
  <c r="J56" i="118"/>
  <c r="K57" i="118"/>
  <c r="K56" i="118"/>
  <c r="I56" i="118"/>
  <c r="I9" i="118"/>
  <c r="K52" i="117"/>
  <c r="J13" i="118"/>
  <c r="K13" i="118"/>
  <c r="I12" i="118"/>
  <c r="K59" i="117"/>
  <c r="K56" i="117"/>
  <c r="K60" i="117"/>
  <c r="K57" i="117"/>
  <c r="K55" i="117"/>
  <c r="K58" i="117"/>
  <c r="G34" i="117"/>
  <c r="H34" i="117"/>
  <c r="J34" i="117"/>
  <c r="K34" i="117"/>
  <c r="L34" i="117"/>
  <c r="J15" i="117"/>
  <c r="K54" i="117"/>
  <c r="H56" i="118"/>
  <c r="J13" i="117"/>
  <c r="H13" i="117"/>
  <c r="H9" i="117"/>
  <c r="S22" i="104"/>
  <c r="J12" i="118"/>
  <c r="J9" i="118"/>
  <c r="K9" i="118"/>
  <c r="H9" i="118"/>
  <c r="K51" i="117"/>
  <c r="D9" i="118"/>
  <c r="K12" i="118"/>
  <c r="K15" i="117"/>
  <c r="K13" i="117"/>
  <c r="J9" i="117"/>
  <c r="D9" i="117"/>
  <c r="K9" i="117"/>
  <c r="T22" i="104"/>
  <c r="U22" i="104"/>
  <c r="L15" i="117"/>
  <c r="L13" i="117"/>
  <c r="L9" i="117"/>
  <c r="I9" i="117"/>
  <c r="I13" i="117"/>
  <c r="R45" i="116"/>
  <c r="R44" i="116"/>
  <c r="R43" i="116"/>
  <c r="R42" i="116"/>
  <c r="R41" i="116"/>
  <c r="R40" i="116"/>
  <c r="R39" i="116"/>
  <c r="R38" i="116"/>
  <c r="R37" i="116"/>
  <c r="R36" i="116"/>
  <c r="R35" i="116"/>
  <c r="R34" i="116"/>
  <c r="R33" i="116"/>
  <c r="R32" i="116"/>
  <c r="R31" i="116"/>
  <c r="R30" i="116"/>
  <c r="R22" i="116"/>
  <c r="R21" i="116"/>
  <c r="R20" i="116"/>
  <c r="R19" i="116"/>
  <c r="R18" i="116"/>
  <c r="R17" i="116"/>
  <c r="R16" i="116"/>
  <c r="R15" i="116"/>
  <c r="R14" i="116"/>
  <c r="R13" i="116"/>
  <c r="R12" i="116"/>
  <c r="R11" i="116"/>
  <c r="R10" i="116"/>
  <c r="R9" i="116"/>
  <c r="R8" i="116"/>
  <c r="R7" i="116"/>
  <c r="N2" i="116"/>
  <c r="H2" i="116"/>
  <c r="R46" i="116"/>
  <c r="R47" i="116"/>
  <c r="R48" i="116"/>
  <c r="R23" i="116"/>
  <c r="R24" i="116"/>
  <c r="R25" i="116"/>
  <c r="R3" i="116"/>
  <c r="V5" i="116"/>
  <c r="G40" i="95"/>
  <c r="J105" i="99"/>
  <c r="J104" i="99"/>
  <c r="J103" i="99"/>
  <c r="J102" i="99"/>
  <c r="K196" i="99"/>
  <c r="M196" i="99"/>
  <c r="O196" i="99"/>
  <c r="K195" i="99"/>
  <c r="M195" i="99"/>
  <c r="K194" i="99"/>
  <c r="M194" i="99"/>
  <c r="N195" i="99"/>
  <c r="O195" i="99"/>
  <c r="O194" i="99"/>
  <c r="N194" i="99"/>
  <c r="N196" i="99"/>
  <c r="K188" i="99"/>
  <c r="H36" i="101"/>
  <c r="J36" i="101"/>
  <c r="K36" i="101"/>
  <c r="L36" i="101"/>
  <c r="H35" i="101"/>
  <c r="J35" i="101"/>
  <c r="K35" i="101"/>
  <c r="L35" i="101"/>
  <c r="H37" i="101"/>
  <c r="J37" i="101"/>
  <c r="K37" i="101"/>
  <c r="L37" i="101"/>
  <c r="H15" i="101"/>
  <c r="H16" i="101"/>
  <c r="J16" i="101"/>
  <c r="G17" i="101"/>
  <c r="H17" i="101"/>
  <c r="J17" i="101"/>
  <c r="K17" i="101"/>
  <c r="L17" i="101"/>
  <c r="G18" i="101"/>
  <c r="H18" i="101"/>
  <c r="J18" i="101"/>
  <c r="K18" i="101"/>
  <c r="L18" i="101"/>
  <c r="H19" i="101"/>
  <c r="J19" i="101"/>
  <c r="K19" i="101"/>
  <c r="L19" i="101"/>
  <c r="G20" i="101"/>
  <c r="H20" i="101"/>
  <c r="J20" i="101"/>
  <c r="K20" i="101"/>
  <c r="L20" i="101"/>
  <c r="G21" i="101"/>
  <c r="H21" i="101"/>
  <c r="H22" i="101"/>
  <c r="J22" i="101"/>
  <c r="K22" i="101"/>
  <c r="L22" i="101"/>
  <c r="H46" i="99"/>
  <c r="F46" i="99"/>
  <c r="C56" i="99"/>
  <c r="H12" i="99"/>
  <c r="D12" i="99"/>
  <c r="E12" i="99"/>
  <c r="G2" i="92"/>
  <c r="C11" i="98"/>
  <c r="E11" i="98"/>
  <c r="G10" i="98"/>
  <c r="H10" i="98"/>
  <c r="C8" i="98"/>
  <c r="E8" i="98"/>
  <c r="H29" i="99"/>
  <c r="D97" i="99"/>
  <c r="H97" i="99"/>
  <c r="F97" i="99"/>
  <c r="C107" i="99"/>
  <c r="D80" i="99"/>
  <c r="H80" i="99"/>
  <c r="D63" i="99"/>
  <c r="H63" i="99"/>
  <c r="D46" i="99"/>
  <c r="E46" i="99"/>
  <c r="D29" i="99"/>
  <c r="E29" i="99"/>
  <c r="R7" i="115"/>
  <c r="R8" i="115"/>
  <c r="R9" i="115"/>
  <c r="R10" i="115"/>
  <c r="R11" i="115"/>
  <c r="R12" i="115"/>
  <c r="R13" i="115"/>
  <c r="R14" i="115"/>
  <c r="R15" i="115"/>
  <c r="R16" i="115"/>
  <c r="R17" i="115"/>
  <c r="R18" i="115"/>
  <c r="R19" i="115"/>
  <c r="R20" i="115"/>
  <c r="R21" i="115"/>
  <c r="R22" i="115"/>
  <c r="R30" i="115"/>
  <c r="R31" i="115"/>
  <c r="R32" i="115"/>
  <c r="R33" i="115"/>
  <c r="R34" i="115"/>
  <c r="R35" i="115"/>
  <c r="R36" i="115"/>
  <c r="R37" i="115"/>
  <c r="R38" i="115"/>
  <c r="R39" i="115"/>
  <c r="R40" i="115"/>
  <c r="R41" i="115"/>
  <c r="R42" i="115"/>
  <c r="R43" i="115"/>
  <c r="R44" i="115"/>
  <c r="R45" i="115"/>
  <c r="R53" i="115"/>
  <c r="R54" i="115"/>
  <c r="R55" i="115"/>
  <c r="R56" i="115"/>
  <c r="R57" i="115"/>
  <c r="R58" i="115"/>
  <c r="R59" i="115"/>
  <c r="R60" i="115"/>
  <c r="R61" i="115"/>
  <c r="R62" i="115"/>
  <c r="R63" i="115"/>
  <c r="R64" i="115"/>
  <c r="R65" i="115"/>
  <c r="R66" i="115"/>
  <c r="R67" i="115"/>
  <c r="R68" i="115"/>
  <c r="R76" i="115"/>
  <c r="R77" i="115"/>
  <c r="R78" i="115"/>
  <c r="R79" i="115"/>
  <c r="R80" i="115"/>
  <c r="R81" i="115"/>
  <c r="R82" i="115"/>
  <c r="R83" i="115"/>
  <c r="R84" i="115"/>
  <c r="R85" i="115"/>
  <c r="R86" i="115"/>
  <c r="R87" i="115"/>
  <c r="R88" i="115"/>
  <c r="R89" i="115"/>
  <c r="R90" i="115"/>
  <c r="R91" i="115"/>
  <c r="N2" i="115"/>
  <c r="H2" i="115"/>
  <c r="R76" i="111"/>
  <c r="R77" i="111"/>
  <c r="R78" i="111"/>
  <c r="R79" i="111"/>
  <c r="R80" i="111"/>
  <c r="R81" i="111"/>
  <c r="R82" i="111"/>
  <c r="R83" i="111"/>
  <c r="R84" i="111"/>
  <c r="R85" i="111"/>
  <c r="R86" i="111"/>
  <c r="R87" i="111"/>
  <c r="R88" i="111"/>
  <c r="R89" i="111"/>
  <c r="R90" i="111"/>
  <c r="R91" i="111"/>
  <c r="R22" i="111"/>
  <c r="R7" i="111"/>
  <c r="R8" i="111"/>
  <c r="R9" i="111"/>
  <c r="R10" i="111"/>
  <c r="R11" i="111"/>
  <c r="R12" i="111"/>
  <c r="R13" i="111"/>
  <c r="R14" i="111"/>
  <c r="R15" i="111"/>
  <c r="R16" i="111"/>
  <c r="R17" i="111"/>
  <c r="R18" i="111"/>
  <c r="R19" i="111"/>
  <c r="R20" i="111"/>
  <c r="R21" i="111"/>
  <c r="R45" i="111"/>
  <c r="R30" i="111"/>
  <c r="R31" i="111"/>
  <c r="R32" i="111"/>
  <c r="R33" i="111"/>
  <c r="R34" i="111"/>
  <c r="R35" i="111"/>
  <c r="R36" i="111"/>
  <c r="R37" i="111"/>
  <c r="R38" i="111"/>
  <c r="R39" i="111"/>
  <c r="R40" i="111"/>
  <c r="R41" i="111"/>
  <c r="R42" i="111"/>
  <c r="R43" i="111"/>
  <c r="R44" i="111"/>
  <c r="R68" i="111"/>
  <c r="R53" i="111"/>
  <c r="R54" i="111"/>
  <c r="R55" i="111"/>
  <c r="R56" i="111"/>
  <c r="R57" i="111"/>
  <c r="R58" i="111"/>
  <c r="R59" i="111"/>
  <c r="R60" i="111"/>
  <c r="R61" i="111"/>
  <c r="R62" i="111"/>
  <c r="R63" i="111"/>
  <c r="R64" i="111"/>
  <c r="R65" i="111"/>
  <c r="R66" i="111"/>
  <c r="R67" i="111"/>
  <c r="L45" i="97"/>
  <c r="N45" i="97"/>
  <c r="O45" i="97"/>
  <c r="D53" i="98"/>
  <c r="E52" i="99"/>
  <c r="G9" i="98"/>
  <c r="H9" i="98"/>
  <c r="F88" i="112"/>
  <c r="G88" i="112"/>
  <c r="I88" i="112"/>
  <c r="F86" i="112"/>
  <c r="G86" i="112"/>
  <c r="I86" i="112"/>
  <c r="F85" i="112"/>
  <c r="G85" i="112"/>
  <c r="I85" i="112"/>
  <c r="K85" i="112"/>
  <c r="F84" i="112"/>
  <c r="G84" i="112"/>
  <c r="I84" i="112"/>
  <c r="F83" i="112"/>
  <c r="G83" i="112"/>
  <c r="F82" i="112"/>
  <c r="G82" i="112"/>
  <c r="I82" i="112"/>
  <c r="K82" i="112"/>
  <c r="F79" i="112"/>
  <c r="G79" i="112"/>
  <c r="I79" i="112"/>
  <c r="K79" i="112"/>
  <c r="F77" i="112"/>
  <c r="G77" i="112"/>
  <c r="I77" i="112"/>
  <c r="J77" i="112"/>
  <c r="F76" i="112"/>
  <c r="G76" i="112"/>
  <c r="I76" i="112"/>
  <c r="F74" i="112"/>
  <c r="G74" i="112"/>
  <c r="I74" i="112"/>
  <c r="F73" i="112"/>
  <c r="G73" i="112"/>
  <c r="I73" i="112"/>
  <c r="F72" i="112"/>
  <c r="G72" i="112"/>
  <c r="I72" i="112"/>
  <c r="F85" i="96"/>
  <c r="G85" i="96"/>
  <c r="I85" i="96"/>
  <c r="F64" i="112"/>
  <c r="G64" i="112"/>
  <c r="I64" i="112"/>
  <c r="F63" i="112"/>
  <c r="G63" i="112"/>
  <c r="I63" i="112"/>
  <c r="F62" i="112"/>
  <c r="G62" i="112"/>
  <c r="I62" i="112"/>
  <c r="K62" i="112"/>
  <c r="F61" i="112"/>
  <c r="G61" i="112"/>
  <c r="I61" i="112"/>
  <c r="J61" i="112"/>
  <c r="F60" i="112"/>
  <c r="G60" i="112"/>
  <c r="I60" i="112"/>
  <c r="F59" i="112"/>
  <c r="G59" i="112"/>
  <c r="I59" i="112"/>
  <c r="F58" i="112"/>
  <c r="G58" i="112"/>
  <c r="I58" i="112"/>
  <c r="K58" i="112"/>
  <c r="F57" i="112"/>
  <c r="G57" i="112"/>
  <c r="F53" i="112"/>
  <c r="G53" i="112"/>
  <c r="I53" i="112"/>
  <c r="F50" i="112"/>
  <c r="G50" i="112"/>
  <c r="I50" i="112"/>
  <c r="F49" i="112"/>
  <c r="G49" i="112"/>
  <c r="I49" i="112"/>
  <c r="F48" i="112"/>
  <c r="G48" i="112"/>
  <c r="I48" i="112"/>
  <c r="K48" i="112"/>
  <c r="F47" i="112"/>
  <c r="G47" i="112"/>
  <c r="I47" i="112"/>
  <c r="J47" i="112"/>
  <c r="F45" i="112"/>
  <c r="G45" i="112"/>
  <c r="I45" i="112"/>
  <c r="F44" i="112"/>
  <c r="G44" i="112"/>
  <c r="I44" i="112"/>
  <c r="K44" i="112"/>
  <c r="F43" i="112"/>
  <c r="G43" i="112"/>
  <c r="I43" i="112"/>
  <c r="F41" i="112"/>
  <c r="G41" i="112"/>
  <c r="I41" i="112"/>
  <c r="F40" i="112"/>
  <c r="G40" i="112"/>
  <c r="I40" i="112"/>
  <c r="F39" i="112"/>
  <c r="G39" i="112"/>
  <c r="I39" i="112"/>
  <c r="F38" i="112"/>
  <c r="G38" i="112"/>
  <c r="I38" i="112"/>
  <c r="N37" i="112"/>
  <c r="F36" i="112"/>
  <c r="G36" i="112"/>
  <c r="I36" i="112"/>
  <c r="F35" i="112"/>
  <c r="G35" i="112"/>
  <c r="I35" i="112"/>
  <c r="F34" i="112"/>
  <c r="G34" i="112"/>
  <c r="I34" i="112"/>
  <c r="F31" i="112"/>
  <c r="G31" i="112"/>
  <c r="I31" i="112"/>
  <c r="F30" i="112"/>
  <c r="G30" i="112"/>
  <c r="I30" i="112"/>
  <c r="J30" i="112"/>
  <c r="F29" i="112"/>
  <c r="G29" i="112"/>
  <c r="I29" i="112"/>
  <c r="K29" i="112"/>
  <c r="F27" i="112"/>
  <c r="G27" i="112"/>
  <c r="I27" i="112"/>
  <c r="F26" i="112"/>
  <c r="G26" i="112"/>
  <c r="I26" i="112"/>
  <c r="K26" i="112"/>
  <c r="F25" i="112"/>
  <c r="G25" i="112"/>
  <c r="I25" i="112"/>
  <c r="F23" i="112"/>
  <c r="G23" i="112"/>
  <c r="I23" i="112"/>
  <c r="J23" i="112"/>
  <c r="F22" i="112"/>
  <c r="G22" i="112"/>
  <c r="I22" i="112"/>
  <c r="F21" i="112"/>
  <c r="G21" i="112"/>
  <c r="I21" i="112"/>
  <c r="F20" i="112"/>
  <c r="G20" i="112"/>
  <c r="I20" i="112"/>
  <c r="K20" i="112"/>
  <c r="F19" i="112"/>
  <c r="G19" i="112"/>
  <c r="I19" i="112"/>
  <c r="F18" i="112"/>
  <c r="G18" i="112"/>
  <c r="I18" i="112"/>
  <c r="K18" i="112"/>
  <c r="F17" i="96"/>
  <c r="G17" i="96"/>
  <c r="I17" i="96"/>
  <c r="F16" i="112"/>
  <c r="G16" i="112"/>
  <c r="I16" i="112"/>
  <c r="F15" i="112"/>
  <c r="G15" i="112"/>
  <c r="I15" i="112"/>
  <c r="J15" i="112"/>
  <c r="F14" i="112"/>
  <c r="G14" i="112"/>
  <c r="D10" i="112"/>
  <c r="G8" i="112"/>
  <c r="G6" i="112"/>
  <c r="C6" i="112"/>
  <c r="G4" i="112"/>
  <c r="C4" i="112"/>
  <c r="K1" i="112"/>
  <c r="F51" i="72"/>
  <c r="G51" i="72"/>
  <c r="I51" i="72"/>
  <c r="F50" i="72"/>
  <c r="F49" i="72"/>
  <c r="G49" i="72"/>
  <c r="I49" i="72"/>
  <c r="F48" i="72"/>
  <c r="G48" i="72"/>
  <c r="I48" i="72"/>
  <c r="K48" i="72"/>
  <c r="F47" i="72"/>
  <c r="G47" i="72"/>
  <c r="I47" i="72"/>
  <c r="F46" i="72"/>
  <c r="G46" i="72"/>
  <c r="F40" i="72"/>
  <c r="G40" i="72"/>
  <c r="I40" i="72"/>
  <c r="J40" i="72"/>
  <c r="F39" i="72"/>
  <c r="G39" i="72"/>
  <c r="I39" i="72"/>
  <c r="F26" i="72"/>
  <c r="G26" i="72"/>
  <c r="I26" i="72"/>
  <c r="K26" i="72"/>
  <c r="G25" i="72"/>
  <c r="I25" i="72"/>
  <c r="G24" i="72"/>
  <c r="I24" i="72"/>
  <c r="G18" i="72"/>
  <c r="G102" i="96"/>
  <c r="I102" i="96"/>
  <c r="K102" i="96"/>
  <c r="G59" i="71"/>
  <c r="I59" i="71"/>
  <c r="G66" i="71"/>
  <c r="I66" i="71"/>
  <c r="J66" i="71"/>
  <c r="C73" i="71"/>
  <c r="F57" i="71"/>
  <c r="G57" i="71"/>
  <c r="I57" i="71"/>
  <c r="F58" i="71"/>
  <c r="G58" i="71"/>
  <c r="E44" i="98"/>
  <c r="I44" i="98"/>
  <c r="T105" i="92"/>
  <c r="I109" i="99"/>
  <c r="I112" i="99"/>
  <c r="J112" i="99"/>
  <c r="I92" i="99"/>
  <c r="I94" i="99"/>
  <c r="J94" i="99"/>
  <c r="I41" i="99"/>
  <c r="I44" i="99"/>
  <c r="J44" i="99"/>
  <c r="I75" i="99"/>
  <c r="I78" i="99"/>
  <c r="J78" i="99"/>
  <c r="I58" i="99"/>
  <c r="I61" i="99"/>
  <c r="J61" i="99"/>
  <c r="F19" i="71"/>
  <c r="G19" i="71"/>
  <c r="I19" i="71"/>
  <c r="F18" i="71"/>
  <c r="G18" i="71"/>
  <c r="I18" i="71"/>
  <c r="F36" i="71"/>
  <c r="G36" i="71"/>
  <c r="I36" i="71"/>
  <c r="J36" i="71"/>
  <c r="N36" i="71"/>
  <c r="N2" i="111"/>
  <c r="Q220" i="92"/>
  <c r="G352" i="92"/>
  <c r="D352" i="92"/>
  <c r="G351" i="92"/>
  <c r="D351" i="92"/>
  <c r="G350" i="92"/>
  <c r="D350" i="92"/>
  <c r="G349" i="92"/>
  <c r="D349" i="92"/>
  <c r="G348" i="92"/>
  <c r="D348" i="92"/>
  <c r="G347" i="92"/>
  <c r="D347" i="92"/>
  <c r="G346" i="92"/>
  <c r="D346" i="92"/>
  <c r="G345" i="92"/>
  <c r="D345" i="92"/>
  <c r="G344" i="92"/>
  <c r="D344" i="92"/>
  <c r="G316" i="92"/>
  <c r="D316" i="92"/>
  <c r="G315" i="92"/>
  <c r="D315" i="92"/>
  <c r="G314" i="92"/>
  <c r="D314" i="92"/>
  <c r="G313" i="92"/>
  <c r="D313" i="92"/>
  <c r="G312" i="92"/>
  <c r="D312" i="92"/>
  <c r="G311" i="92"/>
  <c r="D311" i="92"/>
  <c r="G310" i="92"/>
  <c r="D310" i="92"/>
  <c r="G309" i="92"/>
  <c r="D309" i="92"/>
  <c r="G308" i="92"/>
  <c r="D308" i="92"/>
  <c r="G60" i="95"/>
  <c r="I60" i="95"/>
  <c r="G59" i="95"/>
  <c r="I59" i="95"/>
  <c r="F58" i="95"/>
  <c r="G58" i="95"/>
  <c r="I58" i="95"/>
  <c r="F56" i="95"/>
  <c r="G56" i="95"/>
  <c r="I56" i="95"/>
  <c r="J56" i="95"/>
  <c r="F55" i="95"/>
  <c r="G55" i="95"/>
  <c r="I55" i="95"/>
  <c r="F51" i="95"/>
  <c r="G51" i="95"/>
  <c r="I51" i="95"/>
  <c r="F50" i="95"/>
  <c r="G50" i="95"/>
  <c r="I50" i="95"/>
  <c r="F49" i="95"/>
  <c r="G49" i="95"/>
  <c r="I49" i="95"/>
  <c r="F48" i="95"/>
  <c r="G48" i="95"/>
  <c r="I48" i="95"/>
  <c r="F47" i="95"/>
  <c r="G47" i="95"/>
  <c r="I47" i="95"/>
  <c r="F46" i="95"/>
  <c r="G46" i="95"/>
  <c r="I46" i="95"/>
  <c r="K46" i="95"/>
  <c r="F45" i="95"/>
  <c r="G45" i="95"/>
  <c r="F38" i="95"/>
  <c r="G38" i="95"/>
  <c r="I38" i="95"/>
  <c r="J38" i="95"/>
  <c r="F37" i="95"/>
  <c r="G37" i="95"/>
  <c r="I37" i="95"/>
  <c r="G36" i="95"/>
  <c r="I36" i="95"/>
  <c r="F35" i="95"/>
  <c r="G35" i="95"/>
  <c r="I35" i="95"/>
  <c r="G34" i="95"/>
  <c r="I34" i="95"/>
  <c r="J34" i="95"/>
  <c r="F31" i="95"/>
  <c r="G31" i="95"/>
  <c r="I31" i="95"/>
  <c r="F30" i="95"/>
  <c r="G30" i="95"/>
  <c r="I30" i="95"/>
  <c r="F29" i="95"/>
  <c r="G29" i="95"/>
  <c r="I29" i="95"/>
  <c r="G28" i="95"/>
  <c r="I28" i="95"/>
  <c r="G27" i="95"/>
  <c r="I27" i="95"/>
  <c r="F26" i="95"/>
  <c r="G26" i="95"/>
  <c r="I26" i="95"/>
  <c r="J26" i="95"/>
  <c r="F25" i="95"/>
  <c r="G25" i="95"/>
  <c r="I25" i="95"/>
  <c r="J25" i="95"/>
  <c r="F24" i="95"/>
  <c r="G24" i="95"/>
  <c r="G21" i="95"/>
  <c r="I21" i="95"/>
  <c r="F19" i="95"/>
  <c r="G19" i="95"/>
  <c r="I19" i="95"/>
  <c r="G18" i="95"/>
  <c r="I18" i="95"/>
  <c r="F17" i="95"/>
  <c r="G17" i="95"/>
  <c r="I17" i="95"/>
  <c r="J17" i="95"/>
  <c r="F16" i="95"/>
  <c r="G16" i="95"/>
  <c r="I16" i="95"/>
  <c r="J16" i="95"/>
  <c r="F15" i="95"/>
  <c r="G15" i="95"/>
  <c r="I15" i="95"/>
  <c r="F14" i="95"/>
  <c r="G14" i="95"/>
  <c r="F13" i="95"/>
  <c r="G13" i="95"/>
  <c r="F15" i="72"/>
  <c r="G15" i="72"/>
  <c r="I15" i="72"/>
  <c r="F16" i="72"/>
  <c r="G16" i="72"/>
  <c r="I16" i="72"/>
  <c r="F19" i="72"/>
  <c r="G19" i="72"/>
  <c r="I19" i="72"/>
  <c r="K19" i="72"/>
  <c r="F20" i="72"/>
  <c r="G20" i="72"/>
  <c r="I20" i="72"/>
  <c r="F21" i="72"/>
  <c r="G21" i="72"/>
  <c r="I21" i="72"/>
  <c r="F23" i="72"/>
  <c r="G23" i="72"/>
  <c r="I23" i="72"/>
  <c r="J23" i="72"/>
  <c r="F27" i="72"/>
  <c r="G27" i="72"/>
  <c r="I27" i="72"/>
  <c r="J27" i="72"/>
  <c r="F28" i="72"/>
  <c r="G28" i="72"/>
  <c r="I28" i="72"/>
  <c r="F29" i="72"/>
  <c r="G29" i="72"/>
  <c r="I29" i="72"/>
  <c r="F30" i="72"/>
  <c r="G30" i="72"/>
  <c r="I30" i="72"/>
  <c r="F31" i="72"/>
  <c r="G31" i="72"/>
  <c r="I31" i="72"/>
  <c r="K31" i="72"/>
  <c r="F35" i="72"/>
  <c r="G35" i="72"/>
  <c r="I35" i="72"/>
  <c r="F36" i="72"/>
  <c r="G36" i="72"/>
  <c r="I36" i="72"/>
  <c r="G37" i="72"/>
  <c r="I37" i="72"/>
  <c r="F38" i="72"/>
  <c r="G38" i="72"/>
  <c r="I38" i="72"/>
  <c r="F14" i="72"/>
  <c r="G14" i="72"/>
  <c r="T23" i="90"/>
  <c r="T20" i="90"/>
  <c r="T19" i="90"/>
  <c r="T18" i="90"/>
  <c r="T16" i="90"/>
  <c r="T8" i="90"/>
  <c r="H2" i="111"/>
  <c r="D41" i="109"/>
  <c r="D35" i="109"/>
  <c r="D29" i="109"/>
  <c r="D22" i="109"/>
  <c r="D15" i="109"/>
  <c r="AF55" i="90"/>
  <c r="AF56" i="90"/>
  <c r="AF57" i="90"/>
  <c r="AF58" i="90"/>
  <c r="AF59" i="90"/>
  <c r="AF60" i="90"/>
  <c r="AF61" i="90"/>
  <c r="AF62" i="90"/>
  <c r="AF63" i="90"/>
  <c r="AF64" i="90"/>
  <c r="AF65" i="90"/>
  <c r="AF54" i="90"/>
  <c r="AF31" i="90"/>
  <c r="AF32" i="90"/>
  <c r="AF33" i="90"/>
  <c r="AF34" i="90"/>
  <c r="AF35" i="90"/>
  <c r="AF36" i="90"/>
  <c r="AF37" i="90"/>
  <c r="AF38" i="90"/>
  <c r="AF39" i="90"/>
  <c r="AF40" i="90"/>
  <c r="AF41" i="90"/>
  <c r="AF30" i="90"/>
  <c r="AF6" i="90"/>
  <c r="AF7" i="90"/>
  <c r="AF8" i="90"/>
  <c r="AF9" i="90"/>
  <c r="AF10" i="90"/>
  <c r="AF11" i="90"/>
  <c r="AF12" i="90"/>
  <c r="AF13" i="90"/>
  <c r="AF14" i="90"/>
  <c r="AF15" i="90"/>
  <c r="AF16" i="90"/>
  <c r="AF5" i="90"/>
  <c r="J20" i="99"/>
  <c r="K20" i="99"/>
  <c r="M20" i="99"/>
  <c r="J19" i="99"/>
  <c r="K19" i="99"/>
  <c r="M19" i="99"/>
  <c r="F112" i="99"/>
  <c r="E112" i="99"/>
  <c r="F111" i="99"/>
  <c r="E111" i="99"/>
  <c r="B111" i="99"/>
  <c r="F110" i="99"/>
  <c r="E110" i="99"/>
  <c r="D110" i="99"/>
  <c r="B110" i="99"/>
  <c r="B109" i="99"/>
  <c r="H107" i="99"/>
  <c r="D107" i="99"/>
  <c r="J106" i="99"/>
  <c r="K106" i="99"/>
  <c r="M106" i="99"/>
  <c r="H106" i="99"/>
  <c r="K105" i="99"/>
  <c r="M105" i="99"/>
  <c r="K104" i="99"/>
  <c r="M104" i="99"/>
  <c r="K103" i="99"/>
  <c r="M103" i="99"/>
  <c r="K102" i="99"/>
  <c r="M102" i="99"/>
  <c r="J101" i="99"/>
  <c r="K101" i="99"/>
  <c r="M101" i="99"/>
  <c r="I97" i="99"/>
  <c r="E97" i="99"/>
  <c r="F95" i="99"/>
  <c r="E95" i="99"/>
  <c r="F94" i="99"/>
  <c r="E94" i="99"/>
  <c r="B94" i="99"/>
  <c r="F93" i="99"/>
  <c r="E93" i="99"/>
  <c r="D93" i="99"/>
  <c r="B93" i="99"/>
  <c r="B92" i="99"/>
  <c r="H90" i="99"/>
  <c r="D90" i="99"/>
  <c r="G89" i="99"/>
  <c r="J89" i="99"/>
  <c r="K89" i="99"/>
  <c r="M89" i="99"/>
  <c r="H89" i="99"/>
  <c r="J88" i="99"/>
  <c r="K88" i="99"/>
  <c r="M88" i="99"/>
  <c r="D87" i="99"/>
  <c r="J87" i="99"/>
  <c r="K87" i="99"/>
  <c r="M87" i="99"/>
  <c r="K86" i="99"/>
  <c r="M86" i="99"/>
  <c r="J84" i="99"/>
  <c r="K84" i="99"/>
  <c r="M84" i="99"/>
  <c r="O84" i="99"/>
  <c r="I80" i="99"/>
  <c r="E80" i="99"/>
  <c r="F78" i="99"/>
  <c r="E78" i="99"/>
  <c r="F77" i="99"/>
  <c r="E77" i="99"/>
  <c r="B77" i="99"/>
  <c r="F76" i="99"/>
  <c r="E76" i="99"/>
  <c r="D76" i="99"/>
  <c r="B76" i="99"/>
  <c r="B75" i="99"/>
  <c r="H73" i="99"/>
  <c r="D73" i="99"/>
  <c r="G72" i="99"/>
  <c r="J72" i="99"/>
  <c r="K72" i="99"/>
  <c r="M72" i="99"/>
  <c r="H72" i="99"/>
  <c r="J71" i="99"/>
  <c r="K71" i="99"/>
  <c r="M71" i="99"/>
  <c r="D70" i="99"/>
  <c r="J70" i="99"/>
  <c r="K70" i="99"/>
  <c r="M70" i="99"/>
  <c r="K69" i="99"/>
  <c r="M69" i="99"/>
  <c r="J68" i="99"/>
  <c r="K68" i="99"/>
  <c r="M68" i="99"/>
  <c r="J67" i="99"/>
  <c r="K67" i="99"/>
  <c r="M67" i="99"/>
  <c r="I63" i="99"/>
  <c r="E63" i="99"/>
  <c r="F61" i="99"/>
  <c r="E61" i="99"/>
  <c r="F60" i="99"/>
  <c r="E60" i="99"/>
  <c r="B60" i="99"/>
  <c r="F59" i="99"/>
  <c r="E59" i="99"/>
  <c r="D59" i="99"/>
  <c r="B59" i="99"/>
  <c r="B58" i="99"/>
  <c r="H56" i="99"/>
  <c r="D56" i="99"/>
  <c r="G55" i="99"/>
  <c r="J55" i="99"/>
  <c r="K55" i="99"/>
  <c r="M55" i="99"/>
  <c r="H55" i="99"/>
  <c r="J54" i="99"/>
  <c r="K54" i="99"/>
  <c r="M54" i="99"/>
  <c r="J53" i="99"/>
  <c r="K53" i="99"/>
  <c r="M53" i="99"/>
  <c r="K52" i="99"/>
  <c r="M52" i="99"/>
  <c r="J51" i="99"/>
  <c r="K51" i="99"/>
  <c r="M51" i="99"/>
  <c r="J50" i="99"/>
  <c r="K50" i="99"/>
  <c r="M50" i="99"/>
  <c r="N50" i="99"/>
  <c r="I46" i="99"/>
  <c r="F44" i="99"/>
  <c r="E44" i="99"/>
  <c r="F43" i="99"/>
  <c r="E43" i="99"/>
  <c r="B43" i="99"/>
  <c r="F42" i="99"/>
  <c r="E42" i="99"/>
  <c r="D42" i="99"/>
  <c r="B42" i="99"/>
  <c r="B41" i="99"/>
  <c r="H39" i="99"/>
  <c r="J39" i="99"/>
  <c r="J38" i="99"/>
  <c r="K38" i="99"/>
  <c r="M38" i="99"/>
  <c r="O38" i="99"/>
  <c r="H38" i="99"/>
  <c r="J37" i="99"/>
  <c r="K37" i="99"/>
  <c r="M37" i="99"/>
  <c r="J36" i="99"/>
  <c r="K36" i="99"/>
  <c r="M36" i="99"/>
  <c r="K35" i="99"/>
  <c r="M35" i="99"/>
  <c r="N35" i="99"/>
  <c r="J34" i="99"/>
  <c r="K34" i="99"/>
  <c r="M34" i="99"/>
  <c r="J33" i="99"/>
  <c r="K33" i="99"/>
  <c r="M33" i="99"/>
  <c r="I29" i="99"/>
  <c r="D25" i="99"/>
  <c r="N19" i="97"/>
  <c r="O19" i="97"/>
  <c r="N20" i="97"/>
  <c r="O20" i="97"/>
  <c r="N18" i="97"/>
  <c r="F27" i="99"/>
  <c r="K18" i="99"/>
  <c r="M18" i="99"/>
  <c r="D73" i="98"/>
  <c r="D72" i="98"/>
  <c r="D62" i="98"/>
  <c r="D60" i="98"/>
  <c r="E27" i="99"/>
  <c r="F25" i="99"/>
  <c r="F26" i="99"/>
  <c r="E26" i="99"/>
  <c r="E25" i="99"/>
  <c r="H22" i="99"/>
  <c r="H21" i="99"/>
  <c r="I27" i="104"/>
  <c r="G7" i="104"/>
  <c r="G5" i="104"/>
  <c r="C5" i="104"/>
  <c r="G3" i="104"/>
  <c r="C3" i="104"/>
  <c r="G44" i="71"/>
  <c r="I44" i="71"/>
  <c r="J44" i="71"/>
  <c r="P44" i="71"/>
  <c r="G43" i="71"/>
  <c r="I43" i="71"/>
  <c r="K43" i="71"/>
  <c r="G42" i="71"/>
  <c r="I42" i="71"/>
  <c r="G41" i="71"/>
  <c r="I41" i="71"/>
  <c r="K24" i="101"/>
  <c r="L24" i="101"/>
  <c r="J31" i="101"/>
  <c r="K31" i="101"/>
  <c r="L31" i="101"/>
  <c r="J21" i="99"/>
  <c r="K21" i="99"/>
  <c r="M21" i="99"/>
  <c r="K16" i="99"/>
  <c r="M16" i="99"/>
  <c r="N16" i="99"/>
  <c r="G370" i="92"/>
  <c r="G369" i="92"/>
  <c r="G368" i="92"/>
  <c r="G367" i="92"/>
  <c r="G366" i="92"/>
  <c r="G365" i="92"/>
  <c r="G364" i="92"/>
  <c r="G363" i="92"/>
  <c r="G362" i="92"/>
  <c r="G361" i="92"/>
  <c r="G360" i="92"/>
  <c r="G359" i="92"/>
  <c r="G358" i="92"/>
  <c r="G357" i="92"/>
  <c r="G356" i="92"/>
  <c r="G355" i="92"/>
  <c r="G354" i="92"/>
  <c r="G353" i="92"/>
  <c r="G343" i="92"/>
  <c r="G342" i="92"/>
  <c r="G341" i="92"/>
  <c r="G340" i="92"/>
  <c r="G339" i="92"/>
  <c r="G338" i="92"/>
  <c r="G337" i="92"/>
  <c r="G336" i="92"/>
  <c r="G335" i="92"/>
  <c r="G334" i="92"/>
  <c r="G333" i="92"/>
  <c r="G332" i="92"/>
  <c r="G331" i="92"/>
  <c r="G330" i="92"/>
  <c r="G329" i="92"/>
  <c r="G328" i="92"/>
  <c r="G327" i="92"/>
  <c r="G326" i="92"/>
  <c r="G325" i="92"/>
  <c r="G324" i="92"/>
  <c r="G323" i="92"/>
  <c r="G322" i="92"/>
  <c r="G321" i="92"/>
  <c r="G320" i="92"/>
  <c r="G319" i="92"/>
  <c r="G318" i="92"/>
  <c r="G317" i="92"/>
  <c r="G307" i="92"/>
  <c r="G306" i="92"/>
  <c r="G305" i="92"/>
  <c r="G304" i="92"/>
  <c r="G303" i="92"/>
  <c r="G302" i="92"/>
  <c r="G301" i="92"/>
  <c r="G300" i="92"/>
  <c r="G299" i="92"/>
  <c r="G298" i="92"/>
  <c r="G297" i="92"/>
  <c r="G296" i="92"/>
  <c r="G295" i="92"/>
  <c r="G294" i="92"/>
  <c r="G293" i="92"/>
  <c r="G292" i="92"/>
  <c r="G291" i="92"/>
  <c r="G290" i="92"/>
  <c r="G289" i="92"/>
  <c r="G288" i="92"/>
  <c r="G287" i="92"/>
  <c r="G286" i="92"/>
  <c r="G285" i="92"/>
  <c r="G284" i="92"/>
  <c r="G283" i="92"/>
  <c r="G282" i="92"/>
  <c r="G281" i="92"/>
  <c r="G280" i="92"/>
  <c r="G279" i="92"/>
  <c r="G278" i="92"/>
  <c r="G277" i="92"/>
  <c r="G276" i="92"/>
  <c r="G275" i="92"/>
  <c r="G274" i="92"/>
  <c r="G273" i="92"/>
  <c r="G272" i="92"/>
  <c r="I7" i="97"/>
  <c r="I5" i="97"/>
  <c r="I3" i="97"/>
  <c r="E5" i="97"/>
  <c r="E3" i="97"/>
  <c r="G7" i="101"/>
  <c r="G5" i="101"/>
  <c r="G3" i="101"/>
  <c r="C5" i="101"/>
  <c r="C3" i="101"/>
  <c r="D22" i="99"/>
  <c r="G670" i="92"/>
  <c r="E670" i="92"/>
  <c r="D670" i="92"/>
  <c r="G669" i="92"/>
  <c r="E669" i="92"/>
  <c r="D669" i="92"/>
  <c r="G668" i="92"/>
  <c r="E668" i="92"/>
  <c r="D668" i="92"/>
  <c r="G667" i="92"/>
  <c r="E667" i="92"/>
  <c r="D667" i="92"/>
  <c r="AQ95" i="90"/>
  <c r="AQ94" i="90"/>
  <c r="AQ93" i="90"/>
  <c r="AQ92" i="90"/>
  <c r="AQ91" i="90"/>
  <c r="AQ90" i="90"/>
  <c r="AQ89" i="90"/>
  <c r="AQ88" i="90"/>
  <c r="AQ87" i="90"/>
  <c r="AQ86" i="90"/>
  <c r="AQ108" i="90"/>
  <c r="AQ107" i="90"/>
  <c r="AQ106" i="90"/>
  <c r="AQ105" i="90"/>
  <c r="AQ104" i="90"/>
  <c r="AQ103" i="90"/>
  <c r="AQ102" i="90"/>
  <c r="AQ101" i="90"/>
  <c r="AQ100" i="90"/>
  <c r="AQ99" i="90"/>
  <c r="AQ69" i="90"/>
  <c r="AQ68" i="90"/>
  <c r="AQ67" i="90"/>
  <c r="AQ66" i="90"/>
  <c r="AQ65" i="90"/>
  <c r="AQ64" i="90"/>
  <c r="AQ63" i="90"/>
  <c r="AQ62" i="90"/>
  <c r="AQ61" i="90"/>
  <c r="AQ60" i="90"/>
  <c r="AQ56" i="90"/>
  <c r="AQ55" i="90"/>
  <c r="AQ54" i="90"/>
  <c r="AQ53" i="90"/>
  <c r="AQ52" i="90"/>
  <c r="AQ51" i="90"/>
  <c r="AQ50" i="90"/>
  <c r="AQ49" i="90"/>
  <c r="AQ48" i="90"/>
  <c r="AQ47" i="90"/>
  <c r="AQ43" i="90"/>
  <c r="AQ42" i="90"/>
  <c r="AQ41" i="90"/>
  <c r="AQ40" i="90"/>
  <c r="AQ39" i="90"/>
  <c r="AQ37" i="90"/>
  <c r="AQ38" i="90"/>
  <c r="AQ36" i="90"/>
  <c r="AQ35" i="90"/>
  <c r="AQ34" i="90"/>
  <c r="AQ21" i="90"/>
  <c r="AQ7" i="90"/>
  <c r="AQ30" i="90"/>
  <c r="AQ29" i="90"/>
  <c r="AQ28" i="90"/>
  <c r="AQ27" i="90"/>
  <c r="AQ26" i="90"/>
  <c r="AQ25" i="90"/>
  <c r="AQ24" i="90"/>
  <c r="AQ23" i="90"/>
  <c r="AQ22" i="90"/>
  <c r="AQ16" i="90"/>
  <c r="AQ12" i="90"/>
  <c r="AQ11" i="90"/>
  <c r="AQ10" i="90"/>
  <c r="AQ9" i="90"/>
  <c r="AQ8" i="90"/>
  <c r="AQ14" i="90"/>
  <c r="AQ15" i="90"/>
  <c r="AQ13" i="90"/>
  <c r="K59" i="101"/>
  <c r="K55" i="101"/>
  <c r="G33" i="101"/>
  <c r="H33" i="101"/>
  <c r="J33" i="101"/>
  <c r="K33" i="101"/>
  <c r="L33" i="101"/>
  <c r="G32" i="101"/>
  <c r="H32" i="101"/>
  <c r="J32" i="101"/>
  <c r="K32" i="101"/>
  <c r="L32" i="101"/>
  <c r="H29" i="101"/>
  <c r="J29" i="101"/>
  <c r="K29" i="101"/>
  <c r="L29" i="101"/>
  <c r="H28" i="101"/>
  <c r="J28" i="101"/>
  <c r="K28" i="101"/>
  <c r="L28" i="101"/>
  <c r="H27" i="101"/>
  <c r="J27" i="101"/>
  <c r="K27" i="101"/>
  <c r="L27" i="101"/>
  <c r="H26" i="101"/>
  <c r="J26" i="101"/>
  <c r="K26" i="101"/>
  <c r="L26" i="101"/>
  <c r="G666" i="92"/>
  <c r="D666" i="92"/>
  <c r="G665" i="92"/>
  <c r="D665" i="92"/>
  <c r="G664" i="92"/>
  <c r="D664" i="92"/>
  <c r="G663" i="92"/>
  <c r="D663" i="92"/>
  <c r="G662" i="92"/>
  <c r="D662" i="92"/>
  <c r="G661" i="92"/>
  <c r="D661" i="92"/>
  <c r="G660" i="92"/>
  <c r="D660" i="92"/>
  <c r="G659" i="92"/>
  <c r="D659" i="92"/>
  <c r="G658" i="92"/>
  <c r="D658" i="92"/>
  <c r="G657" i="92"/>
  <c r="D657" i="92"/>
  <c r="G656" i="92"/>
  <c r="D656" i="92"/>
  <c r="G655" i="92"/>
  <c r="D655" i="92"/>
  <c r="G654" i="92"/>
  <c r="D654" i="92"/>
  <c r="G653" i="92"/>
  <c r="D653" i="92"/>
  <c r="G652" i="92"/>
  <c r="D652" i="92"/>
  <c r="G651" i="92"/>
  <c r="D651" i="92"/>
  <c r="G650" i="92"/>
  <c r="D650" i="92"/>
  <c r="G649" i="92"/>
  <c r="D649" i="92"/>
  <c r="G648" i="92"/>
  <c r="D648" i="92"/>
  <c r="G647" i="92"/>
  <c r="D647" i="92"/>
  <c r="G646" i="92"/>
  <c r="D646" i="92"/>
  <c r="G645" i="92"/>
  <c r="D645" i="92"/>
  <c r="G644" i="92"/>
  <c r="D644" i="92"/>
  <c r="G643" i="92"/>
  <c r="D643" i="92"/>
  <c r="G642" i="92"/>
  <c r="D642" i="92"/>
  <c r="G641" i="92"/>
  <c r="D641" i="92"/>
  <c r="G640" i="92"/>
  <c r="D640" i="92"/>
  <c r="G639" i="92"/>
  <c r="D639" i="92"/>
  <c r="G638" i="92"/>
  <c r="D638" i="92"/>
  <c r="G637" i="92"/>
  <c r="D637" i="92"/>
  <c r="G636" i="92"/>
  <c r="D636" i="92"/>
  <c r="G635" i="92"/>
  <c r="D635" i="92"/>
  <c r="G634" i="92"/>
  <c r="D634" i="92"/>
  <c r="G633" i="92"/>
  <c r="D633" i="92"/>
  <c r="G632" i="92"/>
  <c r="D632" i="92"/>
  <c r="G631" i="92"/>
  <c r="D631" i="92"/>
  <c r="G630" i="92"/>
  <c r="D630" i="92"/>
  <c r="G629" i="92"/>
  <c r="D629" i="92"/>
  <c r="G628" i="92"/>
  <c r="D628" i="92"/>
  <c r="G627" i="92"/>
  <c r="D627" i="92"/>
  <c r="G626" i="92"/>
  <c r="D626" i="92"/>
  <c r="G625" i="92"/>
  <c r="D625" i="92"/>
  <c r="G624" i="92"/>
  <c r="D624" i="92"/>
  <c r="G623" i="92"/>
  <c r="D623" i="92"/>
  <c r="G622" i="92"/>
  <c r="D622" i="92"/>
  <c r="G621" i="92"/>
  <c r="D621" i="92"/>
  <c r="G620" i="92"/>
  <c r="D620" i="92"/>
  <c r="G619" i="92"/>
  <c r="D619" i="92"/>
  <c r="G618" i="92"/>
  <c r="D618" i="92"/>
  <c r="G617" i="92"/>
  <c r="D617" i="92"/>
  <c r="G616" i="92"/>
  <c r="D616" i="92"/>
  <c r="G615" i="92"/>
  <c r="D615" i="92"/>
  <c r="G614" i="92"/>
  <c r="D614" i="92"/>
  <c r="G613" i="92"/>
  <c r="D613" i="92"/>
  <c r="G612" i="92"/>
  <c r="D612" i="92"/>
  <c r="G611" i="92"/>
  <c r="D611" i="92"/>
  <c r="G610" i="92"/>
  <c r="D610" i="92"/>
  <c r="G609" i="92"/>
  <c r="D609" i="92"/>
  <c r="G608" i="92"/>
  <c r="D608" i="92"/>
  <c r="G607" i="92"/>
  <c r="D607" i="92"/>
  <c r="G606" i="92"/>
  <c r="D606" i="92"/>
  <c r="G605" i="92"/>
  <c r="D605" i="92"/>
  <c r="G604" i="92"/>
  <c r="D604" i="92"/>
  <c r="G603" i="92"/>
  <c r="D603" i="92"/>
  <c r="G602" i="92"/>
  <c r="D602" i="92"/>
  <c r="G601" i="92"/>
  <c r="D601" i="92"/>
  <c r="G600" i="92"/>
  <c r="D600" i="92"/>
  <c r="G599" i="92"/>
  <c r="D599" i="92"/>
  <c r="G598" i="92"/>
  <c r="D598" i="92"/>
  <c r="G597" i="92"/>
  <c r="D597" i="92"/>
  <c r="G596" i="92"/>
  <c r="D596" i="92"/>
  <c r="G595" i="92"/>
  <c r="D595" i="92"/>
  <c r="G594" i="92"/>
  <c r="D594" i="92"/>
  <c r="G593" i="92"/>
  <c r="D593" i="92"/>
  <c r="G592" i="92"/>
  <c r="D592" i="92"/>
  <c r="G591" i="92"/>
  <c r="D591" i="92"/>
  <c r="G590" i="92"/>
  <c r="D590" i="92"/>
  <c r="G589" i="92"/>
  <c r="D589" i="92"/>
  <c r="G588" i="92"/>
  <c r="D588" i="92"/>
  <c r="G587" i="92"/>
  <c r="D587" i="92"/>
  <c r="G586" i="92"/>
  <c r="D586" i="92"/>
  <c r="G585" i="92"/>
  <c r="D585" i="92"/>
  <c r="G584" i="92"/>
  <c r="D584" i="92"/>
  <c r="G583" i="92"/>
  <c r="D583" i="92"/>
  <c r="G582" i="92"/>
  <c r="D582" i="92"/>
  <c r="G581" i="92"/>
  <c r="D581" i="92"/>
  <c r="G580" i="92"/>
  <c r="D580" i="92"/>
  <c r="G579" i="92"/>
  <c r="D579" i="92"/>
  <c r="G578" i="92"/>
  <c r="D578" i="92"/>
  <c r="G577" i="92"/>
  <c r="D577" i="92"/>
  <c r="G181" i="92"/>
  <c r="D181" i="92"/>
  <c r="G180" i="92"/>
  <c r="D180" i="92"/>
  <c r="G179" i="92"/>
  <c r="D179" i="92"/>
  <c r="G178" i="92"/>
  <c r="D178" i="92"/>
  <c r="G177" i="92"/>
  <c r="D177" i="92"/>
  <c r="G176" i="92"/>
  <c r="D176" i="92"/>
  <c r="G175" i="92"/>
  <c r="D175" i="92"/>
  <c r="G174" i="92"/>
  <c r="D174" i="92"/>
  <c r="G173" i="92"/>
  <c r="D173" i="92"/>
  <c r="G172" i="92"/>
  <c r="D172" i="92"/>
  <c r="G171" i="92"/>
  <c r="D171" i="92"/>
  <c r="G170" i="92"/>
  <c r="D170" i="92"/>
  <c r="G169" i="92"/>
  <c r="D169" i="92"/>
  <c r="G168" i="92"/>
  <c r="D168" i="92"/>
  <c r="G167" i="92"/>
  <c r="D167" i="92"/>
  <c r="G166" i="92"/>
  <c r="D166" i="92"/>
  <c r="G165" i="92"/>
  <c r="D165" i="92"/>
  <c r="G164" i="92"/>
  <c r="D164" i="92"/>
  <c r="G163" i="92"/>
  <c r="D163" i="92"/>
  <c r="G162" i="92"/>
  <c r="D162" i="92"/>
  <c r="G161" i="92"/>
  <c r="D161" i="92"/>
  <c r="G160" i="92"/>
  <c r="D160" i="92"/>
  <c r="G159" i="92"/>
  <c r="D159" i="92"/>
  <c r="G158" i="92"/>
  <c r="D158" i="92"/>
  <c r="G157" i="92"/>
  <c r="D157" i="92"/>
  <c r="G156" i="92"/>
  <c r="D156" i="92"/>
  <c r="G155" i="92"/>
  <c r="D155" i="92"/>
  <c r="G154" i="92"/>
  <c r="D154" i="92"/>
  <c r="G153" i="92"/>
  <c r="D153" i="92"/>
  <c r="G152" i="92"/>
  <c r="D152" i="92"/>
  <c r="G151" i="92"/>
  <c r="D151" i="92"/>
  <c r="G150" i="92"/>
  <c r="D150" i="92"/>
  <c r="G149" i="92"/>
  <c r="D149" i="92"/>
  <c r="G148" i="92"/>
  <c r="D148" i="92"/>
  <c r="G147" i="92"/>
  <c r="D147" i="92"/>
  <c r="G146" i="92"/>
  <c r="D146" i="92"/>
  <c r="G145" i="92"/>
  <c r="D145" i="92"/>
  <c r="G144" i="92"/>
  <c r="D144" i="92"/>
  <c r="G143" i="92"/>
  <c r="D143" i="92"/>
  <c r="G142" i="92"/>
  <c r="D142" i="92"/>
  <c r="G141" i="92"/>
  <c r="D141" i="92"/>
  <c r="G140" i="92"/>
  <c r="D140" i="92"/>
  <c r="G139" i="92"/>
  <c r="D139" i="92"/>
  <c r="G138" i="92"/>
  <c r="D138" i="92"/>
  <c r="G137" i="92"/>
  <c r="D137" i="92"/>
  <c r="F8" i="96"/>
  <c r="F6" i="96"/>
  <c r="F4" i="96"/>
  <c r="C6" i="96"/>
  <c r="C4" i="96"/>
  <c r="F7" i="95"/>
  <c r="F5" i="95"/>
  <c r="F3" i="95"/>
  <c r="C5" i="95"/>
  <c r="F7" i="72"/>
  <c r="F5" i="72"/>
  <c r="F3" i="72"/>
  <c r="C5" i="72"/>
  <c r="C3" i="72"/>
  <c r="Q339" i="92"/>
  <c r="N26" i="97"/>
  <c r="N15" i="97"/>
  <c r="O15" i="97"/>
  <c r="N29" i="97"/>
  <c r="N24" i="97"/>
  <c r="O24" i="97"/>
  <c r="N25" i="97"/>
  <c r="O25" i="97"/>
  <c r="N32" i="97"/>
  <c r="N31" i="97"/>
  <c r="O31" i="97"/>
  <c r="G576" i="92"/>
  <c r="D576" i="92"/>
  <c r="G575" i="92"/>
  <c r="D575" i="92"/>
  <c r="G574" i="92"/>
  <c r="D574" i="92"/>
  <c r="G573" i="92"/>
  <c r="D573" i="92"/>
  <c r="N17" i="97"/>
  <c r="O17" i="97"/>
  <c r="K197" i="99"/>
  <c r="M197" i="99"/>
  <c r="K193" i="99"/>
  <c r="M193" i="99"/>
  <c r="K192" i="99"/>
  <c r="M192" i="99"/>
  <c r="M191" i="99"/>
  <c r="N191" i="99"/>
  <c r="K190" i="99"/>
  <c r="M190" i="99"/>
  <c r="K189" i="99"/>
  <c r="M189" i="99"/>
  <c r="K187" i="99"/>
  <c r="M187" i="99"/>
  <c r="N187" i="99"/>
  <c r="M185" i="99"/>
  <c r="B26" i="99"/>
  <c r="I24" i="99"/>
  <c r="D569" i="92"/>
  <c r="A82" i="98"/>
  <c r="B24" i="99"/>
  <c r="I12" i="99"/>
  <c r="D572" i="92"/>
  <c r="A85" i="98"/>
  <c r="D571" i="92"/>
  <c r="A84" i="98"/>
  <c r="D570" i="92"/>
  <c r="A83" i="98"/>
  <c r="G572" i="92"/>
  <c r="G571" i="92"/>
  <c r="G570" i="92"/>
  <c r="G569" i="92"/>
  <c r="C31" i="98"/>
  <c r="E31" i="98"/>
  <c r="F31" i="98"/>
  <c r="C7" i="98"/>
  <c r="E7" i="98"/>
  <c r="F7" i="98"/>
  <c r="C47" i="98"/>
  <c r="E47" i="98"/>
  <c r="I47" i="98"/>
  <c r="U260" i="92"/>
  <c r="C46" i="98"/>
  <c r="E46" i="98"/>
  <c r="I46" i="98"/>
  <c r="V113" i="92"/>
  <c r="C45" i="98"/>
  <c r="E45" i="98"/>
  <c r="I45" i="98"/>
  <c r="O637" i="92"/>
  <c r="N21" i="97"/>
  <c r="O21" i="97"/>
  <c r="E69" i="99"/>
  <c r="E86" i="99"/>
  <c r="E68" i="99"/>
  <c r="E18" i="99"/>
  <c r="G392" i="92"/>
  <c r="D392" i="92"/>
  <c r="K38" i="97"/>
  <c r="L38" i="97"/>
  <c r="N38" i="97"/>
  <c r="O38" i="97"/>
  <c r="K37" i="97"/>
  <c r="L37" i="97"/>
  <c r="N37" i="97"/>
  <c r="O37" i="97"/>
  <c r="G568" i="92"/>
  <c r="D568" i="92"/>
  <c r="G567" i="92"/>
  <c r="D567" i="92"/>
  <c r="G566" i="92"/>
  <c r="D566" i="92"/>
  <c r="G565" i="92"/>
  <c r="D565" i="92"/>
  <c r="G564" i="92"/>
  <c r="D564" i="92"/>
  <c r="G563" i="92"/>
  <c r="D563" i="92"/>
  <c r="G562" i="92"/>
  <c r="D562" i="92"/>
  <c r="G561" i="92"/>
  <c r="D561" i="92"/>
  <c r="G560" i="92"/>
  <c r="D560" i="92"/>
  <c r="G559" i="92"/>
  <c r="D559" i="92"/>
  <c r="G558" i="92"/>
  <c r="D558" i="92"/>
  <c r="G557" i="92"/>
  <c r="D557" i="92"/>
  <c r="G556" i="92"/>
  <c r="D556" i="92"/>
  <c r="G555" i="92"/>
  <c r="D555" i="92"/>
  <c r="G554" i="92"/>
  <c r="D554" i="92"/>
  <c r="G553" i="92"/>
  <c r="D553" i="92"/>
  <c r="G552" i="92"/>
  <c r="D552" i="92"/>
  <c r="G551" i="92"/>
  <c r="D551" i="92"/>
  <c r="G550" i="92"/>
  <c r="D550" i="92"/>
  <c r="G549" i="92"/>
  <c r="D549" i="92"/>
  <c r="G548" i="92"/>
  <c r="D548" i="92"/>
  <c r="G547" i="92"/>
  <c r="D547" i="92"/>
  <c r="G546" i="92"/>
  <c r="D546" i="92"/>
  <c r="G545" i="92"/>
  <c r="D545" i="92"/>
  <c r="G544" i="92"/>
  <c r="D544" i="92"/>
  <c r="G543" i="92"/>
  <c r="D543" i="92"/>
  <c r="G542" i="92"/>
  <c r="D542" i="92"/>
  <c r="G541" i="92"/>
  <c r="D541" i="92"/>
  <c r="G540" i="92"/>
  <c r="D540" i="92"/>
  <c r="G539" i="92"/>
  <c r="D539" i="92"/>
  <c r="G538" i="92"/>
  <c r="D538" i="92"/>
  <c r="G537" i="92"/>
  <c r="D537" i="92"/>
  <c r="G536" i="92"/>
  <c r="D536" i="92"/>
  <c r="G535" i="92"/>
  <c r="D535" i="92"/>
  <c r="G534" i="92"/>
  <c r="D534" i="92"/>
  <c r="G533" i="92"/>
  <c r="D533" i="92"/>
  <c r="G532" i="92"/>
  <c r="D532" i="92"/>
  <c r="G531" i="92"/>
  <c r="D531" i="92"/>
  <c r="G530" i="92"/>
  <c r="D530" i="92"/>
  <c r="G529" i="92"/>
  <c r="D529" i="92"/>
  <c r="G528" i="92"/>
  <c r="D528" i="92"/>
  <c r="G527" i="92"/>
  <c r="D527" i="92"/>
  <c r="G526" i="92"/>
  <c r="D526" i="92"/>
  <c r="G525" i="92"/>
  <c r="D525" i="92"/>
  <c r="G524" i="92"/>
  <c r="D524" i="92"/>
  <c r="G523" i="92"/>
  <c r="D523" i="92"/>
  <c r="G522" i="92"/>
  <c r="D522" i="92"/>
  <c r="G521" i="92"/>
  <c r="D521" i="92"/>
  <c r="G520" i="92"/>
  <c r="D520" i="92"/>
  <c r="G519" i="92"/>
  <c r="D519" i="92"/>
  <c r="G518" i="92"/>
  <c r="D518" i="92"/>
  <c r="G517" i="92"/>
  <c r="D517" i="92"/>
  <c r="G516" i="92"/>
  <c r="D516" i="92"/>
  <c r="G515" i="92"/>
  <c r="D515" i="92"/>
  <c r="G514" i="92"/>
  <c r="D514" i="92"/>
  <c r="G513" i="92"/>
  <c r="D513" i="92"/>
  <c r="G512" i="92"/>
  <c r="D512" i="92"/>
  <c r="G511" i="92"/>
  <c r="D511" i="92"/>
  <c r="G510" i="92"/>
  <c r="D510" i="92"/>
  <c r="G509" i="92"/>
  <c r="D509" i="92"/>
  <c r="G508" i="92"/>
  <c r="D508" i="92"/>
  <c r="G507" i="92"/>
  <c r="D507" i="92"/>
  <c r="G506" i="92"/>
  <c r="D506" i="92"/>
  <c r="G505" i="92"/>
  <c r="D505" i="92"/>
  <c r="G504" i="92"/>
  <c r="D504" i="92"/>
  <c r="G503" i="92"/>
  <c r="D503" i="92"/>
  <c r="G502" i="92"/>
  <c r="D502" i="92"/>
  <c r="G501" i="92"/>
  <c r="D501" i="92"/>
  <c r="G500" i="92"/>
  <c r="D500" i="92"/>
  <c r="G499" i="92"/>
  <c r="D499" i="92"/>
  <c r="G498" i="92"/>
  <c r="D498" i="92"/>
  <c r="G497" i="92"/>
  <c r="D497" i="92"/>
  <c r="G496" i="92"/>
  <c r="D496" i="92"/>
  <c r="G495" i="92"/>
  <c r="D495" i="92"/>
  <c r="G494" i="92"/>
  <c r="D494" i="92"/>
  <c r="G493" i="92"/>
  <c r="D493" i="92"/>
  <c r="G492" i="92"/>
  <c r="D492" i="92"/>
  <c r="G491" i="92"/>
  <c r="D491" i="92"/>
  <c r="G490" i="92"/>
  <c r="D490" i="92"/>
  <c r="G489" i="92"/>
  <c r="D489" i="92"/>
  <c r="G488" i="92"/>
  <c r="D488" i="92"/>
  <c r="G487" i="92"/>
  <c r="D487" i="92"/>
  <c r="G486" i="92"/>
  <c r="D486" i="92"/>
  <c r="G485" i="92"/>
  <c r="D485" i="92"/>
  <c r="G484" i="92"/>
  <c r="D484" i="92"/>
  <c r="G483" i="92"/>
  <c r="D483" i="92"/>
  <c r="G482" i="92"/>
  <c r="D482" i="92"/>
  <c r="G481" i="92"/>
  <c r="D481" i="92"/>
  <c r="G480" i="92"/>
  <c r="D480" i="92"/>
  <c r="G479" i="92"/>
  <c r="D479" i="92"/>
  <c r="G478" i="92"/>
  <c r="D478" i="92"/>
  <c r="G477" i="92"/>
  <c r="D477" i="92"/>
  <c r="G476" i="92"/>
  <c r="D476" i="92"/>
  <c r="G475" i="92"/>
  <c r="D475" i="92"/>
  <c r="G474" i="92"/>
  <c r="D474" i="92"/>
  <c r="G473" i="92"/>
  <c r="D473" i="92"/>
  <c r="G472" i="92"/>
  <c r="D472" i="92"/>
  <c r="G471" i="92"/>
  <c r="D471" i="92"/>
  <c r="G470" i="92"/>
  <c r="D470" i="92"/>
  <c r="G469" i="92"/>
  <c r="D469" i="92"/>
  <c r="G468" i="92"/>
  <c r="D468" i="92"/>
  <c r="G467" i="92"/>
  <c r="D467" i="92"/>
  <c r="G466" i="92"/>
  <c r="D466" i="92"/>
  <c r="G465" i="92"/>
  <c r="D465" i="92"/>
  <c r="G464" i="92"/>
  <c r="D464" i="92"/>
  <c r="G463" i="92"/>
  <c r="D463" i="92"/>
  <c r="G462" i="92"/>
  <c r="D462" i="92"/>
  <c r="G461" i="92"/>
  <c r="D461" i="92"/>
  <c r="D439" i="92"/>
  <c r="G439" i="92"/>
  <c r="D440" i="92"/>
  <c r="G440" i="92"/>
  <c r="D441" i="92"/>
  <c r="G441" i="92"/>
  <c r="D442" i="92"/>
  <c r="G442" i="92"/>
  <c r="G460" i="92"/>
  <c r="D460" i="92"/>
  <c r="G459" i="92"/>
  <c r="D459" i="92"/>
  <c r="G458" i="92"/>
  <c r="D458" i="92"/>
  <c r="G457" i="92"/>
  <c r="D457" i="92"/>
  <c r="G456" i="92"/>
  <c r="D456" i="92"/>
  <c r="G455" i="92"/>
  <c r="D455" i="92"/>
  <c r="G454" i="92"/>
  <c r="D454" i="92"/>
  <c r="G453" i="92"/>
  <c r="D453" i="92"/>
  <c r="G452" i="92"/>
  <c r="D452" i="92"/>
  <c r="G451" i="92"/>
  <c r="D451" i="92"/>
  <c r="G450" i="92"/>
  <c r="D450" i="92"/>
  <c r="G449" i="92"/>
  <c r="D449" i="92"/>
  <c r="G448" i="92"/>
  <c r="D448" i="92"/>
  <c r="G447" i="92"/>
  <c r="D447" i="92"/>
  <c r="G446" i="92"/>
  <c r="D446" i="92"/>
  <c r="G445" i="92"/>
  <c r="D445" i="92"/>
  <c r="G444" i="92"/>
  <c r="D444" i="92"/>
  <c r="G443" i="92"/>
  <c r="D443" i="92"/>
  <c r="G438" i="92"/>
  <c r="G437" i="92"/>
  <c r="G436" i="92"/>
  <c r="G435" i="92"/>
  <c r="G434" i="92"/>
  <c r="D438" i="92"/>
  <c r="D437" i="92"/>
  <c r="D436" i="92"/>
  <c r="D435" i="92"/>
  <c r="D434" i="92"/>
  <c r="G433" i="92"/>
  <c r="E433" i="92"/>
  <c r="D433" i="92"/>
  <c r="G432" i="92"/>
  <c r="E432" i="92"/>
  <c r="D432" i="92"/>
  <c r="G431" i="92"/>
  <c r="E431" i="92"/>
  <c r="D431" i="92"/>
  <c r="G430" i="92"/>
  <c r="E430" i="92"/>
  <c r="D430" i="92"/>
  <c r="G429" i="92"/>
  <c r="E429" i="92"/>
  <c r="D429" i="92"/>
  <c r="G428" i="92"/>
  <c r="E428" i="92"/>
  <c r="D428" i="92"/>
  <c r="G427" i="92"/>
  <c r="E427" i="92"/>
  <c r="D427" i="92"/>
  <c r="G426" i="92"/>
  <c r="E426" i="92"/>
  <c r="D426" i="92"/>
  <c r="G425" i="92"/>
  <c r="E425" i="92"/>
  <c r="D425" i="92"/>
  <c r="G424" i="92"/>
  <c r="E424" i="92"/>
  <c r="D424" i="92"/>
  <c r="G423" i="92"/>
  <c r="E423" i="92"/>
  <c r="D423" i="92"/>
  <c r="G422" i="92"/>
  <c r="E422" i="92"/>
  <c r="D422" i="92"/>
  <c r="G421" i="92"/>
  <c r="E421" i="92"/>
  <c r="D421" i="92"/>
  <c r="G420" i="92"/>
  <c r="E420" i="92"/>
  <c r="D420" i="92"/>
  <c r="G419" i="92"/>
  <c r="E419" i="92"/>
  <c r="D419" i="92"/>
  <c r="G418" i="92"/>
  <c r="E418" i="92"/>
  <c r="D418" i="92"/>
  <c r="G417" i="92"/>
  <c r="E417" i="92"/>
  <c r="D417" i="92"/>
  <c r="G416" i="92"/>
  <c r="E416" i="92"/>
  <c r="D416" i="92"/>
  <c r="D293" i="92"/>
  <c r="D356" i="92"/>
  <c r="G383" i="92"/>
  <c r="D383" i="92"/>
  <c r="G414" i="92"/>
  <c r="D414" i="92"/>
  <c r="G412" i="92"/>
  <c r="D412" i="92"/>
  <c r="G410" i="92"/>
  <c r="D410" i="92"/>
  <c r="G408" i="92"/>
  <c r="D408" i="92"/>
  <c r="G405" i="92"/>
  <c r="D405" i="92"/>
  <c r="G403" i="92"/>
  <c r="D403" i="92"/>
  <c r="G401" i="92"/>
  <c r="D401" i="92"/>
  <c r="G399" i="92"/>
  <c r="D399" i="92"/>
  <c r="G396" i="92"/>
  <c r="D396" i="92"/>
  <c r="G394" i="92"/>
  <c r="D394" i="92"/>
  <c r="G390" i="92"/>
  <c r="D390" i="92"/>
  <c r="G387" i="92"/>
  <c r="D387" i="92"/>
  <c r="G385" i="92"/>
  <c r="D385" i="92"/>
  <c r="G381" i="92"/>
  <c r="D381" i="92"/>
  <c r="G378" i="92"/>
  <c r="D378" i="92"/>
  <c r="G376" i="92"/>
  <c r="D376" i="92"/>
  <c r="G374" i="92"/>
  <c r="D374" i="92"/>
  <c r="G372" i="92"/>
  <c r="D372" i="92"/>
  <c r="D369" i="92"/>
  <c r="D367" i="92"/>
  <c r="D365" i="92"/>
  <c r="D363" i="92"/>
  <c r="D360" i="92"/>
  <c r="D358" i="92"/>
  <c r="D354" i="92"/>
  <c r="D342" i="92"/>
  <c r="D340" i="92"/>
  <c r="D338" i="92"/>
  <c r="D336" i="92"/>
  <c r="D333" i="92"/>
  <c r="D331" i="92"/>
  <c r="D329" i="92"/>
  <c r="D327" i="92"/>
  <c r="D324" i="92"/>
  <c r="D322" i="92"/>
  <c r="D320" i="92"/>
  <c r="D318" i="92"/>
  <c r="D306" i="92"/>
  <c r="D304" i="92"/>
  <c r="D302" i="92"/>
  <c r="D300" i="92"/>
  <c r="D297" i="92"/>
  <c r="D295" i="92"/>
  <c r="D291" i="92"/>
  <c r="D288" i="92"/>
  <c r="D286" i="92"/>
  <c r="D284" i="92"/>
  <c r="D282" i="92"/>
  <c r="D276" i="92"/>
  <c r="D275" i="92"/>
  <c r="D274" i="92"/>
  <c r="D273" i="92"/>
  <c r="D272" i="92"/>
  <c r="G39" i="92"/>
  <c r="D39" i="92"/>
  <c r="G239" i="92"/>
  <c r="D239" i="92"/>
  <c r="G220" i="92"/>
  <c r="D220" i="92"/>
  <c r="G212" i="92"/>
  <c r="D212" i="92"/>
  <c r="G202" i="92"/>
  <c r="D202" i="92"/>
  <c r="G194" i="92"/>
  <c r="D194" i="92"/>
  <c r="G113" i="92"/>
  <c r="D113" i="92"/>
  <c r="G108" i="92"/>
  <c r="D108" i="92"/>
  <c r="G99" i="92"/>
  <c r="D99" i="92"/>
  <c r="G90" i="92"/>
  <c r="D90" i="92"/>
  <c r="G270" i="92"/>
  <c r="D270" i="92"/>
  <c r="G268" i="92"/>
  <c r="D268" i="92"/>
  <c r="G266" i="92"/>
  <c r="D266" i="92"/>
  <c r="G264" i="92"/>
  <c r="D264" i="92"/>
  <c r="G261" i="92"/>
  <c r="D261" i="92"/>
  <c r="G259" i="92"/>
  <c r="D259" i="92"/>
  <c r="G257" i="92"/>
  <c r="D257" i="92"/>
  <c r="G255" i="92"/>
  <c r="D255" i="92"/>
  <c r="G252" i="92"/>
  <c r="D252" i="92"/>
  <c r="G250" i="92"/>
  <c r="D250" i="92"/>
  <c r="G248" i="92"/>
  <c r="D248" i="92"/>
  <c r="G246" i="92"/>
  <c r="D246" i="92"/>
  <c r="Q243" i="92"/>
  <c r="G243" i="92"/>
  <c r="D243" i="92"/>
  <c r="G242" i="92"/>
  <c r="D242" i="92"/>
  <c r="G240" i="92"/>
  <c r="D240" i="92"/>
  <c r="G237" i="92"/>
  <c r="D237" i="92"/>
  <c r="G234" i="92"/>
  <c r="D234" i="92"/>
  <c r="G232" i="92"/>
  <c r="D232" i="92"/>
  <c r="G230" i="92"/>
  <c r="D230" i="92"/>
  <c r="G228" i="92"/>
  <c r="D228" i="92"/>
  <c r="G225" i="92"/>
  <c r="D225" i="92"/>
  <c r="G223" i="92"/>
  <c r="D223" i="92"/>
  <c r="G222" i="92"/>
  <c r="D222" i="92"/>
  <c r="G219" i="92"/>
  <c r="D219" i="92"/>
  <c r="G216" i="92"/>
  <c r="D216" i="92"/>
  <c r="G214" i="92"/>
  <c r="D214" i="92"/>
  <c r="G210" i="92"/>
  <c r="D210" i="92"/>
  <c r="G207" i="92"/>
  <c r="D207" i="92"/>
  <c r="G205" i="92"/>
  <c r="D205" i="92"/>
  <c r="G201" i="92"/>
  <c r="D201" i="92"/>
  <c r="G198" i="92"/>
  <c r="D198" i="92"/>
  <c r="G196" i="92"/>
  <c r="D196" i="92"/>
  <c r="G192" i="92"/>
  <c r="D192" i="92"/>
  <c r="G189" i="92"/>
  <c r="D189" i="92"/>
  <c r="G187" i="92"/>
  <c r="D187" i="92"/>
  <c r="G185" i="92"/>
  <c r="D185" i="92"/>
  <c r="G183" i="92"/>
  <c r="D183" i="92"/>
  <c r="G135" i="92"/>
  <c r="D135" i="92"/>
  <c r="G133" i="92"/>
  <c r="D133" i="92"/>
  <c r="G131" i="92"/>
  <c r="D131" i="92"/>
  <c r="G129" i="92"/>
  <c r="D129" i="92"/>
  <c r="G126" i="92"/>
  <c r="D126" i="92"/>
  <c r="G124" i="92"/>
  <c r="D124" i="92"/>
  <c r="G122" i="92"/>
  <c r="D122" i="92"/>
  <c r="G120" i="92"/>
  <c r="D120" i="92"/>
  <c r="G117" i="92"/>
  <c r="D117" i="92"/>
  <c r="G115" i="92"/>
  <c r="D115" i="92"/>
  <c r="G111" i="92"/>
  <c r="D111" i="92"/>
  <c r="G109" i="92"/>
  <c r="D109" i="92"/>
  <c r="G106" i="92"/>
  <c r="D106" i="92"/>
  <c r="G104" i="92"/>
  <c r="D104" i="92"/>
  <c r="G102" i="92"/>
  <c r="D102" i="92"/>
  <c r="G100" i="92"/>
  <c r="D100" i="92"/>
  <c r="Q97" i="92"/>
  <c r="G97" i="92"/>
  <c r="D97" i="92"/>
  <c r="G95" i="92"/>
  <c r="D95" i="92"/>
  <c r="G93" i="92"/>
  <c r="D93" i="92"/>
  <c r="G98" i="92"/>
  <c r="D98" i="92"/>
  <c r="G96" i="92"/>
  <c r="D96" i="92"/>
  <c r="G94" i="92"/>
  <c r="D94" i="92"/>
  <c r="G92" i="92"/>
  <c r="D92" i="92"/>
  <c r="Q89" i="92"/>
  <c r="G89" i="92"/>
  <c r="D89" i="92"/>
  <c r="G87" i="92"/>
  <c r="D87" i="92"/>
  <c r="D91" i="92"/>
  <c r="G91" i="92"/>
  <c r="D85" i="92"/>
  <c r="G85" i="92"/>
  <c r="D88" i="92"/>
  <c r="G88" i="92"/>
  <c r="D86" i="92"/>
  <c r="G86" i="92"/>
  <c r="G81" i="92"/>
  <c r="D81" i="92"/>
  <c r="G79" i="92"/>
  <c r="D79" i="92"/>
  <c r="G77" i="92"/>
  <c r="D77" i="92"/>
  <c r="G75" i="92"/>
  <c r="D75" i="92"/>
  <c r="G72" i="92"/>
  <c r="D72" i="92"/>
  <c r="G70" i="92"/>
  <c r="D70" i="92"/>
  <c r="G67" i="92"/>
  <c r="D67" i="92"/>
  <c r="G66" i="92"/>
  <c r="D66" i="92"/>
  <c r="G63" i="92"/>
  <c r="D63" i="92"/>
  <c r="G61" i="92"/>
  <c r="D61" i="92"/>
  <c r="G59" i="92"/>
  <c r="D59" i="92"/>
  <c r="G57" i="92"/>
  <c r="D57" i="92"/>
  <c r="G54" i="92"/>
  <c r="D54" i="92"/>
  <c r="G45" i="92"/>
  <c r="D45" i="92"/>
  <c r="G36" i="92"/>
  <c r="D36" i="92"/>
  <c r="G32" i="92"/>
  <c r="D32" i="92"/>
  <c r="G12" i="92"/>
  <c r="D12" i="92"/>
  <c r="G3" i="92"/>
  <c r="D3" i="92"/>
  <c r="G21" i="92"/>
  <c r="D21" i="92"/>
  <c r="G52" i="92"/>
  <c r="D52" i="92"/>
  <c r="G50" i="92"/>
  <c r="D50" i="92"/>
  <c r="G48" i="92"/>
  <c r="D48" i="92"/>
  <c r="G43" i="92"/>
  <c r="D43" i="92"/>
  <c r="G40" i="92"/>
  <c r="D40" i="92"/>
  <c r="G34" i="92"/>
  <c r="D34" i="92"/>
  <c r="G30" i="92"/>
  <c r="D30" i="92"/>
  <c r="G27" i="92"/>
  <c r="D27" i="92"/>
  <c r="G25" i="92"/>
  <c r="D25" i="92"/>
  <c r="G22" i="92"/>
  <c r="D22" i="92"/>
  <c r="G19" i="92"/>
  <c r="D19" i="92"/>
  <c r="G17" i="92"/>
  <c r="D17" i="92"/>
  <c r="G15" i="92"/>
  <c r="D15" i="92"/>
  <c r="G13" i="92"/>
  <c r="D13" i="92"/>
  <c r="G9" i="92"/>
  <c r="D9" i="92"/>
  <c r="G7" i="92"/>
  <c r="D7" i="92"/>
  <c r="G4" i="92"/>
  <c r="D4" i="92"/>
  <c r="I17" i="72"/>
  <c r="J17" i="72"/>
  <c r="L46" i="97"/>
  <c r="N46" i="97"/>
  <c r="L44" i="97"/>
  <c r="N44" i="97"/>
  <c r="L43" i="97"/>
  <c r="N43" i="97"/>
  <c r="L42" i="97"/>
  <c r="N42" i="97"/>
  <c r="O42" i="97"/>
  <c r="L41" i="97"/>
  <c r="N41" i="97"/>
  <c r="O41" i="97"/>
  <c r="L40" i="97"/>
  <c r="N40" i="97"/>
  <c r="L39" i="97"/>
  <c r="N39" i="97"/>
  <c r="O39" i="97"/>
  <c r="K36" i="97"/>
  <c r="L36" i="97"/>
  <c r="N36" i="97"/>
  <c r="O36" i="97"/>
  <c r="N23" i="97"/>
  <c r="O23" i="97"/>
  <c r="N22" i="97"/>
  <c r="O22" i="97"/>
  <c r="N16" i="97"/>
  <c r="O16" i="97"/>
  <c r="J12" i="97"/>
  <c r="H12" i="97"/>
  <c r="F12" i="97"/>
  <c r="F96" i="96"/>
  <c r="G96" i="96"/>
  <c r="I96" i="96"/>
  <c r="G271" i="92"/>
  <c r="D271" i="92"/>
  <c r="G269" i="92"/>
  <c r="D269" i="92"/>
  <c r="G267" i="92"/>
  <c r="D267" i="92"/>
  <c r="G265" i="92"/>
  <c r="D265" i="92"/>
  <c r="G263" i="92"/>
  <c r="D263" i="92"/>
  <c r="G226" i="92"/>
  <c r="D226" i="92"/>
  <c r="G224" i="92"/>
  <c r="D224" i="92"/>
  <c r="G221" i="92"/>
  <c r="D221" i="92"/>
  <c r="G218" i="92"/>
  <c r="D218" i="92"/>
  <c r="G136" i="92"/>
  <c r="D136" i="92"/>
  <c r="G134" i="92"/>
  <c r="D134" i="92"/>
  <c r="G132" i="92"/>
  <c r="D132" i="92"/>
  <c r="G130" i="92"/>
  <c r="D130" i="92"/>
  <c r="G128" i="92"/>
  <c r="D128" i="92"/>
  <c r="G84" i="92"/>
  <c r="D84" i="92"/>
  <c r="G83" i="92"/>
  <c r="D83" i="92"/>
  <c r="G46" i="92"/>
  <c r="D46" i="92"/>
  <c r="G44" i="92"/>
  <c r="D44" i="92"/>
  <c r="G42" i="92"/>
  <c r="D42" i="92"/>
  <c r="G41" i="92"/>
  <c r="D41" i="92"/>
  <c r="G38" i="92"/>
  <c r="D38" i="92"/>
  <c r="N27" i="97"/>
  <c r="O27" i="97"/>
  <c r="G415" i="92"/>
  <c r="D415" i="92"/>
  <c r="G413" i="92"/>
  <c r="D413" i="92"/>
  <c r="G411" i="92"/>
  <c r="D411" i="92"/>
  <c r="G409" i="92"/>
  <c r="D409" i="92"/>
  <c r="G407" i="92"/>
  <c r="D407" i="92"/>
  <c r="G398" i="92"/>
  <c r="G400" i="92"/>
  <c r="G402" i="92"/>
  <c r="G404" i="92"/>
  <c r="G406" i="92"/>
  <c r="D406" i="92"/>
  <c r="D404" i="92"/>
  <c r="D402" i="92"/>
  <c r="D400" i="92"/>
  <c r="D398" i="92"/>
  <c r="G371" i="92"/>
  <c r="G373" i="92"/>
  <c r="G375" i="92"/>
  <c r="G377" i="92"/>
  <c r="G379" i="92"/>
  <c r="G380" i="92"/>
  <c r="G382" i="92"/>
  <c r="G384" i="92"/>
  <c r="G386" i="92"/>
  <c r="G388" i="92"/>
  <c r="G389" i="92"/>
  <c r="G391" i="92"/>
  <c r="G393" i="92"/>
  <c r="G395" i="92"/>
  <c r="G397" i="92"/>
  <c r="D397" i="92"/>
  <c r="D395" i="92"/>
  <c r="D393" i="92"/>
  <c r="D391" i="92"/>
  <c r="D389" i="92"/>
  <c r="D388" i="92"/>
  <c r="D386" i="92"/>
  <c r="D384" i="92"/>
  <c r="D382" i="92"/>
  <c r="D380" i="92"/>
  <c r="D379" i="92"/>
  <c r="D377" i="92"/>
  <c r="D375" i="92"/>
  <c r="D373" i="92"/>
  <c r="D371" i="92"/>
  <c r="D370" i="92"/>
  <c r="D368" i="92"/>
  <c r="D366" i="92"/>
  <c r="D364" i="92"/>
  <c r="D362" i="92"/>
  <c r="D361" i="92"/>
  <c r="D359" i="92"/>
  <c r="D357" i="92"/>
  <c r="D355" i="92"/>
  <c r="D353" i="92"/>
  <c r="D343" i="92"/>
  <c r="D341" i="92"/>
  <c r="D339" i="92"/>
  <c r="D337" i="92"/>
  <c r="D335" i="92"/>
  <c r="D334" i="92"/>
  <c r="D332" i="92"/>
  <c r="D330" i="92"/>
  <c r="D328" i="92"/>
  <c r="D326" i="92"/>
  <c r="D325" i="92"/>
  <c r="D323" i="92"/>
  <c r="D321" i="92"/>
  <c r="D319" i="92"/>
  <c r="D317" i="92"/>
  <c r="D307" i="92"/>
  <c r="D305" i="92"/>
  <c r="D303" i="92"/>
  <c r="D301" i="92"/>
  <c r="D299" i="92"/>
  <c r="D298" i="92"/>
  <c r="D296" i="92"/>
  <c r="D294" i="92"/>
  <c r="D292" i="92"/>
  <c r="D290" i="92"/>
  <c r="D289" i="92"/>
  <c r="D287" i="92"/>
  <c r="D285" i="92"/>
  <c r="D283" i="92"/>
  <c r="D281" i="92"/>
  <c r="D280" i="92"/>
  <c r="D279" i="92"/>
  <c r="D278" i="92"/>
  <c r="D277" i="92"/>
  <c r="AF18" i="90"/>
  <c r="AF19" i="90"/>
  <c r="AF20" i="90"/>
  <c r="AF21" i="90"/>
  <c r="AF22" i="90"/>
  <c r="AF23" i="90"/>
  <c r="AF24" i="90"/>
  <c r="AF25" i="90"/>
  <c r="AF26" i="90"/>
  <c r="AF27" i="90"/>
  <c r="AF28" i="90"/>
  <c r="AF29" i="90"/>
  <c r="AF42" i="90"/>
  <c r="AF43" i="90"/>
  <c r="AF44" i="90"/>
  <c r="AF45" i="90"/>
  <c r="AF46" i="90"/>
  <c r="AF47" i="90"/>
  <c r="AF48" i="90"/>
  <c r="AF49" i="90"/>
  <c r="AF50" i="90"/>
  <c r="AF51" i="90"/>
  <c r="AF52" i="90"/>
  <c r="AF53" i="90"/>
  <c r="AF66" i="90"/>
  <c r="AF67" i="90"/>
  <c r="AF68" i="90"/>
  <c r="AF69" i="90"/>
  <c r="AF70" i="90"/>
  <c r="AF71" i="90"/>
  <c r="AF72" i="90"/>
  <c r="AF73" i="90"/>
  <c r="AF74" i="90"/>
  <c r="AF75" i="90"/>
  <c r="AF76" i="90"/>
  <c r="AF77" i="90"/>
  <c r="AG10" i="90"/>
  <c r="AG9" i="90"/>
  <c r="AG8" i="90"/>
  <c r="AG7" i="90"/>
  <c r="AG6" i="90"/>
  <c r="AG5" i="90"/>
  <c r="G99" i="96"/>
  <c r="I99" i="96"/>
  <c r="G98" i="96"/>
  <c r="I98" i="96"/>
  <c r="F97" i="96"/>
  <c r="G97" i="96"/>
  <c r="F54" i="95"/>
  <c r="G54" i="95"/>
  <c r="G57" i="95"/>
  <c r="I57" i="95"/>
  <c r="G42" i="95"/>
  <c r="I42" i="95"/>
  <c r="G41" i="95"/>
  <c r="I41" i="95"/>
  <c r="I40" i="95"/>
  <c r="J40" i="95"/>
  <c r="G39" i="95"/>
  <c r="I39" i="95"/>
  <c r="K39" i="95"/>
  <c r="F15" i="71"/>
  <c r="G15" i="71"/>
  <c r="I15" i="71"/>
  <c r="F44" i="72"/>
  <c r="G44" i="72"/>
  <c r="I44" i="72"/>
  <c r="F45" i="72"/>
  <c r="G45" i="72"/>
  <c r="Q256" i="92"/>
  <c r="Q209" i="92"/>
  <c r="Q195" i="92"/>
  <c r="Q64" i="92"/>
  <c r="G54" i="71"/>
  <c r="I54" i="71"/>
  <c r="G53" i="71"/>
  <c r="I53" i="71"/>
  <c r="K53" i="71"/>
  <c r="G52" i="71"/>
  <c r="I52" i="71"/>
  <c r="J52" i="71"/>
  <c r="O52" i="71"/>
  <c r="G51" i="71"/>
  <c r="I51" i="71"/>
  <c r="K51" i="71"/>
  <c r="G50" i="71"/>
  <c r="I50" i="71"/>
  <c r="G49" i="71"/>
  <c r="I49" i="71"/>
  <c r="G48" i="71"/>
  <c r="I48" i="71"/>
  <c r="J48" i="71"/>
  <c r="P48" i="71"/>
  <c r="G47" i="71"/>
  <c r="I47" i="71"/>
  <c r="K47" i="71"/>
  <c r="G46" i="71"/>
  <c r="I46" i="71"/>
  <c r="J46" i="71"/>
  <c r="P46" i="71"/>
  <c r="G45" i="71"/>
  <c r="I45" i="71"/>
  <c r="G40" i="71"/>
  <c r="I40" i="71"/>
  <c r="G39" i="71"/>
  <c r="I39" i="71"/>
  <c r="G38" i="71"/>
  <c r="I38" i="71"/>
  <c r="K38" i="71"/>
  <c r="G37" i="71"/>
  <c r="I37" i="71"/>
  <c r="G35" i="71"/>
  <c r="I35" i="71"/>
  <c r="G34" i="71"/>
  <c r="I34" i="71"/>
  <c r="J34" i="71"/>
  <c r="N34" i="71"/>
  <c r="G33" i="71"/>
  <c r="I33" i="71"/>
  <c r="J33" i="71"/>
  <c r="N33" i="71"/>
  <c r="G32" i="71"/>
  <c r="I32" i="71"/>
  <c r="G31" i="71"/>
  <c r="I31" i="71"/>
  <c r="J31" i="71"/>
  <c r="N31" i="71"/>
  <c r="G29" i="71"/>
  <c r="I29" i="71"/>
  <c r="J29" i="71"/>
  <c r="N29" i="71"/>
  <c r="G24" i="71"/>
  <c r="I24" i="71"/>
  <c r="J24" i="71"/>
  <c r="M24" i="71"/>
  <c r="G23" i="71"/>
  <c r="I23" i="71"/>
  <c r="J23" i="71"/>
  <c r="M23" i="71"/>
  <c r="G22" i="71"/>
  <c r="I22" i="71"/>
  <c r="J22" i="71"/>
  <c r="M22" i="71"/>
  <c r="G21" i="71"/>
  <c r="I21" i="71"/>
  <c r="J21" i="71"/>
  <c r="M21" i="71"/>
  <c r="G20" i="71"/>
  <c r="I20" i="71"/>
  <c r="G17" i="71"/>
  <c r="I17" i="71"/>
  <c r="J17" i="71"/>
  <c r="M17" i="71"/>
  <c r="F28" i="71"/>
  <c r="G28" i="71"/>
  <c r="I28" i="71"/>
  <c r="F27" i="71"/>
  <c r="G27" i="71"/>
  <c r="I27" i="71"/>
  <c r="F26" i="71"/>
  <c r="G26" i="71"/>
  <c r="I26" i="71"/>
  <c r="J26" i="71"/>
  <c r="N26" i="71"/>
  <c r="F25" i="71"/>
  <c r="G25" i="71"/>
  <c r="I25" i="71"/>
  <c r="F14" i="71"/>
  <c r="G14" i="71"/>
  <c r="I14" i="71"/>
  <c r="J14" i="71"/>
  <c r="G65" i="71"/>
  <c r="I65" i="71"/>
  <c r="J65" i="71"/>
  <c r="G64" i="71"/>
  <c r="I64" i="71"/>
  <c r="G63" i="71"/>
  <c r="I63" i="71"/>
  <c r="G62" i="71"/>
  <c r="I62" i="71"/>
  <c r="G61" i="71"/>
  <c r="I61" i="71"/>
  <c r="J61" i="71"/>
  <c r="G60" i="71"/>
  <c r="I60" i="71"/>
  <c r="G262" i="92"/>
  <c r="D262" i="92"/>
  <c r="G260" i="92"/>
  <c r="D260" i="92"/>
  <c r="G258" i="92"/>
  <c r="D258" i="92"/>
  <c r="G256" i="92"/>
  <c r="D256" i="92"/>
  <c r="G254" i="92"/>
  <c r="D254" i="92"/>
  <c r="G253" i="92"/>
  <c r="D253" i="92"/>
  <c r="G251" i="92"/>
  <c r="D251" i="92"/>
  <c r="G249" i="92"/>
  <c r="D249" i="92"/>
  <c r="G247" i="92"/>
  <c r="D247" i="92"/>
  <c r="G245" i="92"/>
  <c r="D245" i="92"/>
  <c r="G244" i="92"/>
  <c r="D244" i="92"/>
  <c r="G241" i="92"/>
  <c r="D241" i="92"/>
  <c r="G238" i="92"/>
  <c r="D238" i="92"/>
  <c r="G236" i="92"/>
  <c r="D236" i="92"/>
  <c r="G235" i="92"/>
  <c r="D235" i="92"/>
  <c r="G233" i="92"/>
  <c r="D233" i="92"/>
  <c r="G231" i="92"/>
  <c r="D231" i="92"/>
  <c r="G229" i="92"/>
  <c r="D229" i="92"/>
  <c r="G227" i="92"/>
  <c r="D227" i="92"/>
  <c r="G217" i="92"/>
  <c r="D217" i="92"/>
  <c r="G215" i="92"/>
  <c r="D215" i="92"/>
  <c r="G213" i="92"/>
  <c r="D213" i="92"/>
  <c r="G211" i="92"/>
  <c r="D211" i="92"/>
  <c r="G209" i="92"/>
  <c r="D209" i="92"/>
  <c r="G208" i="92"/>
  <c r="D208" i="92"/>
  <c r="G206" i="92"/>
  <c r="D206" i="92"/>
  <c r="G204" i="92"/>
  <c r="D204" i="92"/>
  <c r="G203" i="92"/>
  <c r="D203" i="92"/>
  <c r="G200" i="92"/>
  <c r="D200" i="92"/>
  <c r="G199" i="92"/>
  <c r="D199" i="92"/>
  <c r="G197" i="92"/>
  <c r="D197" i="92"/>
  <c r="G195" i="92"/>
  <c r="D195" i="92"/>
  <c r="G193" i="92"/>
  <c r="D193" i="92"/>
  <c r="G191" i="92"/>
  <c r="D191" i="92"/>
  <c r="G190" i="92"/>
  <c r="D190" i="92"/>
  <c r="G188" i="92"/>
  <c r="D188" i="92"/>
  <c r="G186" i="92"/>
  <c r="D186" i="92"/>
  <c r="G184" i="92"/>
  <c r="D184" i="92"/>
  <c r="G182" i="92"/>
  <c r="D182" i="92"/>
  <c r="G127" i="92"/>
  <c r="D127" i="92"/>
  <c r="G125" i="92"/>
  <c r="D125" i="92"/>
  <c r="G123" i="92"/>
  <c r="D123" i="92"/>
  <c r="G121" i="92"/>
  <c r="D121" i="92"/>
  <c r="G119" i="92"/>
  <c r="D119" i="92"/>
  <c r="G118" i="92"/>
  <c r="D118" i="92"/>
  <c r="G116" i="92"/>
  <c r="D116" i="92"/>
  <c r="G114" i="92"/>
  <c r="D114" i="92"/>
  <c r="G112" i="92"/>
  <c r="D112" i="92"/>
  <c r="G110" i="92"/>
  <c r="D110" i="92"/>
  <c r="G107" i="92"/>
  <c r="D107" i="92"/>
  <c r="G105" i="92"/>
  <c r="D105" i="92"/>
  <c r="G103" i="92"/>
  <c r="D103" i="92"/>
  <c r="G101" i="92"/>
  <c r="D101" i="92"/>
  <c r="D82" i="92"/>
  <c r="D80" i="92"/>
  <c r="D78" i="92"/>
  <c r="D76" i="92"/>
  <c r="D74" i="92"/>
  <c r="D73" i="92"/>
  <c r="D71" i="92"/>
  <c r="D69" i="92"/>
  <c r="D68" i="92"/>
  <c r="D65" i="92"/>
  <c r="D64" i="92"/>
  <c r="D62" i="92"/>
  <c r="D60" i="92"/>
  <c r="D58" i="92"/>
  <c r="D56" i="92"/>
  <c r="D55" i="92"/>
  <c r="D53" i="92"/>
  <c r="D51" i="92"/>
  <c r="D47" i="92"/>
  <c r="D49" i="92"/>
  <c r="D37" i="92"/>
  <c r="D35" i="92"/>
  <c r="D33" i="92"/>
  <c r="D31" i="92"/>
  <c r="D29" i="92"/>
  <c r="D28" i="92"/>
  <c r="D26" i="92"/>
  <c r="D24" i="92"/>
  <c r="D23" i="92"/>
  <c r="D20" i="92"/>
  <c r="D18" i="92"/>
  <c r="D16" i="92"/>
  <c r="D14" i="92"/>
  <c r="D11" i="92"/>
  <c r="D10" i="92"/>
  <c r="D8" i="92"/>
  <c r="D6" i="92"/>
  <c r="D5" i="92"/>
  <c r="D2" i="92"/>
  <c r="G82" i="92"/>
  <c r="G80" i="92"/>
  <c r="G78" i="92"/>
  <c r="G76" i="92"/>
  <c r="G74" i="92"/>
  <c r="G73" i="92"/>
  <c r="G71" i="92"/>
  <c r="G69" i="92"/>
  <c r="G68" i="92"/>
  <c r="G65" i="92"/>
  <c r="G64" i="92"/>
  <c r="G62" i="92"/>
  <c r="G60" i="92"/>
  <c r="G58" i="92"/>
  <c r="G56" i="92"/>
  <c r="G55" i="92"/>
  <c r="G53" i="92"/>
  <c r="G51" i="92"/>
  <c r="G49" i="92"/>
  <c r="G47" i="92"/>
  <c r="G10" i="92"/>
  <c r="G8" i="92"/>
  <c r="G6" i="92"/>
  <c r="G5" i="92"/>
  <c r="G37" i="92"/>
  <c r="G35" i="92"/>
  <c r="G33" i="92"/>
  <c r="G31" i="92"/>
  <c r="G29" i="92"/>
  <c r="G28" i="92"/>
  <c r="G26" i="92"/>
  <c r="G24" i="92"/>
  <c r="G23" i="92"/>
  <c r="G20" i="92"/>
  <c r="G11" i="92"/>
  <c r="G18" i="92"/>
  <c r="G16" i="92"/>
  <c r="G14" i="92"/>
  <c r="F13" i="71"/>
  <c r="G13" i="71"/>
  <c r="I13" i="71"/>
  <c r="G34" i="72"/>
  <c r="I34" i="72"/>
  <c r="G32" i="72"/>
  <c r="I32" i="72"/>
  <c r="G33" i="72"/>
  <c r="I33" i="72"/>
  <c r="K33" i="72"/>
  <c r="G41" i="72"/>
  <c r="I41" i="72"/>
  <c r="J41" i="72"/>
  <c r="G50" i="72"/>
  <c r="I50" i="72"/>
  <c r="J50" i="72"/>
  <c r="G52" i="72"/>
  <c r="I52" i="72"/>
  <c r="G53" i="72"/>
  <c r="I53" i="72"/>
  <c r="G54" i="72"/>
  <c r="I54" i="72"/>
  <c r="J54" i="72"/>
  <c r="G55" i="72"/>
  <c r="I55" i="72"/>
  <c r="D9" i="104"/>
  <c r="I11" i="104"/>
  <c r="F78" i="112"/>
  <c r="G78" i="112"/>
  <c r="I78" i="112"/>
  <c r="F79" i="96"/>
  <c r="G79" i="96"/>
  <c r="I79" i="96"/>
  <c r="F80" i="96"/>
  <c r="G80" i="96"/>
  <c r="I80" i="96"/>
  <c r="F67" i="112"/>
  <c r="G67" i="112"/>
  <c r="I67" i="112"/>
  <c r="K67" i="112"/>
  <c r="F68" i="112"/>
  <c r="G68" i="112"/>
  <c r="I68" i="112"/>
  <c r="K68" i="112"/>
  <c r="Z570" i="92"/>
  <c r="T30" i="90"/>
  <c r="Z571" i="92"/>
  <c r="T31" i="90"/>
  <c r="AC569" i="92"/>
  <c r="T24" i="90"/>
  <c r="Z572" i="92"/>
  <c r="T32" i="90"/>
  <c r="AA569" i="92"/>
  <c r="T25" i="90"/>
  <c r="X572" i="92"/>
  <c r="T33" i="90"/>
  <c r="AA570" i="92"/>
  <c r="T26" i="90"/>
  <c r="Z569" i="92"/>
  <c r="T29" i="90"/>
  <c r="AA571" i="92"/>
  <c r="T27" i="90"/>
  <c r="AA572" i="92"/>
  <c r="T28" i="90"/>
  <c r="F52" i="112"/>
  <c r="G52" i="112"/>
  <c r="I52" i="112"/>
  <c r="J52" i="112"/>
  <c r="F66" i="96"/>
  <c r="G66" i="96"/>
  <c r="I66" i="96"/>
  <c r="K66" i="96"/>
  <c r="I46" i="72"/>
  <c r="I43" i="72"/>
  <c r="G43" i="72"/>
  <c r="F68" i="96"/>
  <c r="G68" i="96"/>
  <c r="I68" i="96"/>
  <c r="I14" i="72"/>
  <c r="J14" i="72"/>
  <c r="I13" i="95"/>
  <c r="J13" i="95"/>
  <c r="G23" i="95"/>
  <c r="F51" i="112"/>
  <c r="G51" i="112"/>
  <c r="I51" i="112"/>
  <c r="K51" i="112"/>
  <c r="F65" i="96"/>
  <c r="G65" i="96"/>
  <c r="I65" i="96"/>
  <c r="K65" i="96"/>
  <c r="G34" i="101"/>
  <c r="H34" i="101"/>
  <c r="J34" i="101"/>
  <c r="K34" i="101"/>
  <c r="L34" i="101"/>
  <c r="C75" i="99"/>
  <c r="D75" i="99"/>
  <c r="F22" i="72"/>
  <c r="G22" i="72"/>
  <c r="G13" i="72"/>
  <c r="I18" i="72"/>
  <c r="K18" i="72"/>
  <c r="E34" i="99"/>
  <c r="E85" i="99"/>
  <c r="K16" i="101"/>
  <c r="L16" i="101"/>
  <c r="L30" i="97"/>
  <c r="N30" i="97"/>
  <c r="K23" i="71"/>
  <c r="L28" i="97"/>
  <c r="N28" i="97"/>
  <c r="C92" i="99"/>
  <c r="D92" i="99"/>
  <c r="J32" i="72"/>
  <c r="K32" i="72"/>
  <c r="K57" i="101"/>
  <c r="K45" i="71"/>
  <c r="J45" i="71"/>
  <c r="P45" i="71"/>
  <c r="K41" i="72"/>
  <c r="K21" i="71"/>
  <c r="J39" i="95"/>
  <c r="K52" i="71"/>
  <c r="K65" i="71"/>
  <c r="X569" i="92"/>
  <c r="F65" i="112"/>
  <c r="G65" i="112"/>
  <c r="I65" i="112"/>
  <c r="J65" i="112"/>
  <c r="F93" i="96"/>
  <c r="G93" i="96"/>
  <c r="I93" i="96"/>
  <c r="J93" i="96"/>
  <c r="F37" i="112"/>
  <c r="G37" i="112"/>
  <c r="I37" i="112"/>
  <c r="J37" i="112"/>
  <c r="G38" i="96"/>
  <c r="I38" i="96"/>
  <c r="K24" i="72"/>
  <c r="J24" i="72"/>
  <c r="K47" i="72"/>
  <c r="J47" i="72"/>
  <c r="J51" i="72"/>
  <c r="K51" i="72"/>
  <c r="J34" i="72"/>
  <c r="K34" i="72"/>
  <c r="K63" i="71"/>
  <c r="J63" i="71"/>
  <c r="J35" i="71"/>
  <c r="N35" i="71"/>
  <c r="K35" i="71"/>
  <c r="J39" i="71"/>
  <c r="N39" i="71"/>
  <c r="K39" i="71"/>
  <c r="K39" i="72"/>
  <c r="J39" i="72"/>
  <c r="J64" i="71"/>
  <c r="K64" i="71"/>
  <c r="K49" i="72"/>
  <c r="J49" i="72"/>
  <c r="K17" i="71"/>
  <c r="K40" i="72"/>
  <c r="K34" i="71"/>
  <c r="J51" i="71"/>
  <c r="O51" i="71"/>
  <c r="J38" i="71"/>
  <c r="N38" i="71"/>
  <c r="E103" i="99"/>
  <c r="E102" i="99"/>
  <c r="X570" i="92"/>
  <c r="J43" i="71"/>
  <c r="P43" i="71"/>
  <c r="R69" i="115"/>
  <c r="R70" i="115"/>
  <c r="J26" i="72"/>
  <c r="K29" i="71"/>
  <c r="I12" i="97"/>
  <c r="E51" i="99"/>
  <c r="R69" i="111"/>
  <c r="R70" i="111"/>
  <c r="R92" i="115"/>
  <c r="R93" i="115"/>
  <c r="R94" i="115"/>
  <c r="K59" i="71"/>
  <c r="J59" i="71"/>
  <c r="J60" i="71"/>
  <c r="K60" i="71"/>
  <c r="K37" i="71"/>
  <c r="J37" i="71"/>
  <c r="N37" i="71"/>
  <c r="K22" i="71"/>
  <c r="F12" i="99"/>
  <c r="I26" i="99"/>
  <c r="J26" i="99"/>
  <c r="K26" i="99"/>
  <c r="M26" i="99"/>
  <c r="O26" i="99"/>
  <c r="F61" i="96"/>
  <c r="G61" i="96"/>
  <c r="I61" i="96"/>
  <c r="K61" i="96"/>
  <c r="F71" i="96"/>
  <c r="G71" i="96"/>
  <c r="I71" i="96"/>
  <c r="G30" i="96"/>
  <c r="I30" i="96"/>
  <c r="J30" i="96"/>
  <c r="F77" i="96"/>
  <c r="G77" i="96"/>
  <c r="I77" i="96"/>
  <c r="K77" i="96"/>
  <c r="F100" i="96"/>
  <c r="G100" i="96"/>
  <c r="I100" i="96"/>
  <c r="K100" i="96"/>
  <c r="F26" i="96"/>
  <c r="G26" i="96"/>
  <c r="I26" i="96"/>
  <c r="K26" i="96"/>
  <c r="N38" i="99"/>
  <c r="F16" i="96"/>
  <c r="G16" i="96"/>
  <c r="I16" i="96"/>
  <c r="K16" i="96"/>
  <c r="Q101" i="92"/>
  <c r="Q134" i="92"/>
  <c r="Q216" i="92"/>
  <c r="K55" i="72"/>
  <c r="J55" i="72"/>
  <c r="J32" i="71"/>
  <c r="N32" i="71"/>
  <c r="K32" i="71"/>
  <c r="J25" i="71"/>
  <c r="N25" i="71"/>
  <c r="K25" i="71"/>
  <c r="K54" i="71"/>
  <c r="J54" i="71"/>
  <c r="O54" i="71"/>
  <c r="P26" i="97"/>
  <c r="O26" i="97"/>
  <c r="K18" i="71"/>
  <c r="J18" i="71"/>
  <c r="M18" i="71"/>
  <c r="J88" i="112"/>
  <c r="K88" i="112"/>
  <c r="J20" i="71"/>
  <c r="M20" i="71"/>
  <c r="K20" i="71"/>
  <c r="K25" i="72"/>
  <c r="J25" i="72"/>
  <c r="J53" i="72"/>
  <c r="K53" i="72"/>
  <c r="J19" i="71"/>
  <c r="M19" i="71"/>
  <c r="K19" i="71"/>
  <c r="K61" i="101"/>
  <c r="P18" i="97"/>
  <c r="O18" i="97"/>
  <c r="R23" i="115"/>
  <c r="K54" i="72"/>
  <c r="J33" i="72"/>
  <c r="Q118" i="92"/>
  <c r="O43" i="97"/>
  <c r="P43" i="97"/>
  <c r="P32" i="97"/>
  <c r="O32" i="97"/>
  <c r="P29" i="97"/>
  <c r="O29" i="97"/>
  <c r="K44" i="71"/>
  <c r="K77" i="112"/>
  <c r="R46" i="111"/>
  <c r="R46" i="115"/>
  <c r="R92" i="111"/>
  <c r="R93" i="111"/>
  <c r="K50" i="72"/>
  <c r="J48" i="72"/>
  <c r="K33" i="71"/>
  <c r="K36" i="71"/>
  <c r="K66" i="71"/>
  <c r="J102" i="96"/>
  <c r="P46" i="97"/>
  <c r="O46" i="97"/>
  <c r="Q282" i="92"/>
  <c r="Q328" i="92"/>
  <c r="Q113" i="92"/>
  <c r="Q205" i="92"/>
  <c r="Q117" i="92"/>
  <c r="Q100" i="92"/>
  <c r="Q77" i="92"/>
  <c r="Q226" i="92"/>
  <c r="Q238" i="92"/>
  <c r="Q188" i="92"/>
  <c r="Q78" i="92"/>
  <c r="Q369" i="92"/>
  <c r="Q252" i="92"/>
  <c r="Q129" i="92"/>
  <c r="Q91" i="92"/>
  <c r="Q50" i="92"/>
  <c r="Q267" i="92"/>
  <c r="R23" i="111"/>
  <c r="K24" i="71"/>
  <c r="Q215" i="92"/>
  <c r="J96" i="96"/>
  <c r="K96" i="96"/>
  <c r="K31" i="71"/>
  <c r="K46" i="71"/>
  <c r="J53" i="71"/>
  <c r="O53" i="71"/>
  <c r="Q56" i="92"/>
  <c r="Q119" i="92"/>
  <c r="Q241" i="92"/>
  <c r="P40" i="97"/>
  <c r="O40" i="97"/>
  <c r="P44" i="97"/>
  <c r="O44" i="97"/>
  <c r="Q109" i="92"/>
  <c r="K54" i="101"/>
  <c r="K58" i="101"/>
  <c r="K61" i="112"/>
  <c r="F54" i="112"/>
  <c r="G54" i="112"/>
  <c r="I54" i="112"/>
  <c r="J54" i="112"/>
  <c r="P45" i="97"/>
  <c r="P22" i="97"/>
  <c r="P39" i="97"/>
  <c r="P27" i="97"/>
  <c r="P31" i="97"/>
  <c r="P42" i="97"/>
  <c r="K56" i="101"/>
  <c r="J52" i="72"/>
  <c r="K52" i="72"/>
  <c r="J62" i="71"/>
  <c r="K62" i="71"/>
  <c r="P41" i="97"/>
  <c r="K61" i="71"/>
  <c r="K57" i="95"/>
  <c r="J57" i="95"/>
  <c r="K60" i="101"/>
  <c r="J47" i="71"/>
  <c r="P47" i="71"/>
  <c r="J15" i="101"/>
  <c r="K15" i="101"/>
  <c r="F80" i="99"/>
  <c r="C90" i="99"/>
  <c r="E90" i="99"/>
  <c r="K94" i="99"/>
  <c r="M94" i="99"/>
  <c r="O94" i="99"/>
  <c r="I27" i="99"/>
  <c r="J21" i="101"/>
  <c r="F91" i="96"/>
  <c r="G91" i="96"/>
  <c r="I91" i="96"/>
  <c r="J91" i="96"/>
  <c r="X571" i="92"/>
  <c r="J26" i="112"/>
  <c r="F18" i="96"/>
  <c r="G18" i="96"/>
  <c r="I18" i="96"/>
  <c r="K18" i="96"/>
  <c r="F88" i="96"/>
  <c r="G88" i="96"/>
  <c r="I88" i="96"/>
  <c r="J88" i="96"/>
  <c r="K38" i="95"/>
  <c r="F57" i="96"/>
  <c r="G57" i="96"/>
  <c r="I57" i="96"/>
  <c r="J57" i="96"/>
  <c r="F76" i="96"/>
  <c r="G76" i="96"/>
  <c r="I76" i="96"/>
  <c r="K76" i="96"/>
  <c r="K28" i="72"/>
  <c r="J28" i="72"/>
  <c r="J15" i="95"/>
  <c r="K15" i="95"/>
  <c r="K58" i="95"/>
  <c r="J58" i="95"/>
  <c r="J86" i="112"/>
  <c r="K86" i="112"/>
  <c r="F15" i="96"/>
  <c r="G15" i="96"/>
  <c r="I15" i="96"/>
  <c r="J15" i="96"/>
  <c r="F92" i="96"/>
  <c r="G92" i="96"/>
  <c r="I92" i="96"/>
  <c r="K92" i="96"/>
  <c r="F66" i="112"/>
  <c r="G66" i="112"/>
  <c r="I66" i="112"/>
  <c r="K66" i="112"/>
  <c r="F71" i="112"/>
  <c r="G71" i="112"/>
  <c r="I71" i="112"/>
  <c r="K71" i="112"/>
  <c r="K25" i="95"/>
  <c r="F23" i="96"/>
  <c r="G23" i="96"/>
  <c r="I23" i="96"/>
  <c r="J23" i="96"/>
  <c r="F27" i="96"/>
  <c r="G27" i="96"/>
  <c r="I27" i="96"/>
  <c r="K27" i="96"/>
  <c r="I39" i="96"/>
  <c r="J39" i="96"/>
  <c r="F59" i="96"/>
  <c r="G59" i="96"/>
  <c r="I59" i="96"/>
  <c r="J59" i="96"/>
  <c r="F82" i="96"/>
  <c r="G82" i="96"/>
  <c r="I82" i="96"/>
  <c r="K82" i="96"/>
  <c r="K72" i="112"/>
  <c r="J72" i="112"/>
  <c r="K16" i="112"/>
  <c r="J16" i="112"/>
  <c r="K45" i="112"/>
  <c r="J45" i="112"/>
  <c r="K19" i="112"/>
  <c r="J19" i="112"/>
  <c r="J36" i="112"/>
  <c r="K36" i="112"/>
  <c r="J43" i="112"/>
  <c r="K43" i="112"/>
  <c r="J18" i="112"/>
  <c r="F19" i="96"/>
  <c r="G19" i="96"/>
  <c r="I19" i="96"/>
  <c r="K19" i="96"/>
  <c r="F63" i="96"/>
  <c r="G63" i="96"/>
  <c r="I63" i="96"/>
  <c r="J63" i="96"/>
  <c r="AC570" i="92"/>
  <c r="K47" i="112"/>
  <c r="F17" i="112"/>
  <c r="G17" i="112"/>
  <c r="I17" i="112"/>
  <c r="J17" i="112"/>
  <c r="F62" i="96"/>
  <c r="G62" i="96"/>
  <c r="I62" i="96"/>
  <c r="K62" i="96"/>
  <c r="F86" i="96"/>
  <c r="G86" i="96"/>
  <c r="I86" i="96"/>
  <c r="K86" i="96"/>
  <c r="F31" i="96"/>
  <c r="G31" i="96"/>
  <c r="I31" i="96"/>
  <c r="J31" i="96"/>
  <c r="F72" i="96"/>
  <c r="G72" i="96"/>
  <c r="I72" i="96"/>
  <c r="J72" i="96"/>
  <c r="AC571" i="92"/>
  <c r="J20" i="112"/>
  <c r="J29" i="112"/>
  <c r="J35" i="72"/>
  <c r="K35" i="72"/>
  <c r="K30" i="95"/>
  <c r="J30" i="95"/>
  <c r="J22" i="112"/>
  <c r="K22" i="112"/>
  <c r="J47" i="95"/>
  <c r="K47" i="95"/>
  <c r="J27" i="95"/>
  <c r="K27" i="95"/>
  <c r="J31" i="112"/>
  <c r="K31" i="112"/>
  <c r="K21" i="95"/>
  <c r="J21" i="95"/>
  <c r="K50" i="112"/>
  <c r="J50" i="112"/>
  <c r="J36" i="72"/>
  <c r="K36" i="72"/>
  <c r="K31" i="95"/>
  <c r="J31" i="95"/>
  <c r="J80" i="96"/>
  <c r="K80" i="96"/>
  <c r="K37" i="72"/>
  <c r="J37" i="72"/>
  <c r="K51" i="95"/>
  <c r="J51" i="95"/>
  <c r="J17" i="96"/>
  <c r="K17" i="96"/>
  <c r="J64" i="112"/>
  <c r="K64" i="112"/>
  <c r="K30" i="112"/>
  <c r="F20" i="96"/>
  <c r="G20" i="96"/>
  <c r="I20" i="96"/>
  <c r="F32" i="96"/>
  <c r="G32" i="96"/>
  <c r="I32" i="96"/>
  <c r="J32" i="96"/>
  <c r="G67" i="96"/>
  <c r="I67" i="96"/>
  <c r="K67" i="96"/>
  <c r="F74" i="96"/>
  <c r="G74" i="96"/>
  <c r="I74" i="96"/>
  <c r="K74" i="96"/>
  <c r="F78" i="96"/>
  <c r="G78" i="96"/>
  <c r="I78" i="96"/>
  <c r="F90" i="96"/>
  <c r="G90" i="96"/>
  <c r="I90" i="96"/>
  <c r="J90" i="96"/>
  <c r="AC572" i="92"/>
  <c r="J79" i="112"/>
  <c r="K15" i="112"/>
  <c r="J46" i="95"/>
  <c r="F81" i="96"/>
  <c r="G81" i="96"/>
  <c r="I81" i="96"/>
  <c r="J81" i="96"/>
  <c r="K23" i="72"/>
  <c r="J19" i="72"/>
  <c r="K34" i="95"/>
  <c r="F22" i="96"/>
  <c r="G22" i="96"/>
  <c r="I22" i="96"/>
  <c r="K22" i="96"/>
  <c r="F28" i="96"/>
  <c r="G28" i="96"/>
  <c r="I28" i="96"/>
  <c r="J28" i="96"/>
  <c r="F64" i="96"/>
  <c r="G64" i="96"/>
  <c r="I64" i="96"/>
  <c r="F75" i="96"/>
  <c r="G75" i="96"/>
  <c r="I75" i="96"/>
  <c r="J58" i="112"/>
  <c r="J48" i="112"/>
  <c r="J30" i="72"/>
  <c r="K30" i="72"/>
  <c r="J48" i="95"/>
  <c r="K48" i="95"/>
  <c r="J55" i="95"/>
  <c r="K55" i="95"/>
  <c r="J15" i="72"/>
  <c r="K15" i="72"/>
  <c r="K21" i="72"/>
  <c r="J21" i="72"/>
  <c r="J38" i="72"/>
  <c r="K38" i="72"/>
  <c r="K36" i="95"/>
  <c r="J36" i="95"/>
  <c r="I45" i="95"/>
  <c r="G44" i="95"/>
  <c r="J60" i="95"/>
  <c r="K60" i="95"/>
  <c r="K35" i="112"/>
  <c r="J35" i="112"/>
  <c r="K27" i="72"/>
  <c r="J31" i="72"/>
  <c r="K16" i="72"/>
  <c r="J16" i="72"/>
  <c r="K26" i="95"/>
  <c r="K16" i="95"/>
  <c r="I14" i="95"/>
  <c r="G12" i="95"/>
  <c r="K18" i="95"/>
  <c r="J18" i="95"/>
  <c r="I24" i="95"/>
  <c r="K28" i="95"/>
  <c r="J28" i="95"/>
  <c r="K50" i="95"/>
  <c r="J50" i="95"/>
  <c r="J59" i="95"/>
  <c r="K59" i="95"/>
  <c r="P17" i="97"/>
  <c r="P23" i="97"/>
  <c r="J63" i="112"/>
  <c r="K63" i="112"/>
  <c r="J29" i="72"/>
  <c r="K29" i="72"/>
  <c r="K20" i="72"/>
  <c r="J20" i="72"/>
  <c r="J37" i="95"/>
  <c r="K37" i="95"/>
  <c r="J85" i="96"/>
  <c r="K85" i="96"/>
  <c r="K79" i="96"/>
  <c r="J79" i="96"/>
  <c r="J21" i="112"/>
  <c r="K21" i="112"/>
  <c r="K56" i="95"/>
  <c r="J49" i="95"/>
  <c r="K49" i="95"/>
  <c r="K19" i="95"/>
  <c r="J19" i="95"/>
  <c r="J29" i="95"/>
  <c r="K29" i="95"/>
  <c r="J35" i="95"/>
  <c r="K35" i="95"/>
  <c r="I14" i="112"/>
  <c r="K73" i="112"/>
  <c r="J73" i="112"/>
  <c r="F87" i="112"/>
  <c r="G87" i="112"/>
  <c r="I87" i="112"/>
  <c r="F101" i="96"/>
  <c r="G101" i="96"/>
  <c r="I101" i="96"/>
  <c r="Y571" i="92"/>
  <c r="Y570" i="92"/>
  <c r="J62" i="112"/>
  <c r="F28" i="112"/>
  <c r="G28" i="112"/>
  <c r="I28" i="112"/>
  <c r="F29" i="96"/>
  <c r="G29" i="96"/>
  <c r="I29" i="96"/>
  <c r="K34" i="112"/>
  <c r="J34" i="112"/>
  <c r="J40" i="112"/>
  <c r="K40" i="112"/>
  <c r="F46" i="112"/>
  <c r="G46" i="112"/>
  <c r="I46" i="112"/>
  <c r="F60" i="96"/>
  <c r="G60" i="96"/>
  <c r="I60" i="96"/>
  <c r="K60" i="112"/>
  <c r="J60" i="112"/>
  <c r="K74" i="112"/>
  <c r="J74" i="112"/>
  <c r="K17" i="95"/>
  <c r="F14" i="96"/>
  <c r="G14" i="96"/>
  <c r="Y569" i="92"/>
  <c r="J44" i="112"/>
  <c r="F24" i="112"/>
  <c r="G24" i="112"/>
  <c r="I24" i="112"/>
  <c r="F24" i="96"/>
  <c r="G24" i="96"/>
  <c r="I24" i="96"/>
  <c r="K27" i="112"/>
  <c r="J27" i="112"/>
  <c r="K41" i="112"/>
  <c r="J41" i="112"/>
  <c r="J38" i="112"/>
  <c r="K38" i="112"/>
  <c r="F42" i="112"/>
  <c r="G42" i="112"/>
  <c r="I42" i="112"/>
  <c r="K59" i="112"/>
  <c r="J59" i="112"/>
  <c r="K76" i="112"/>
  <c r="J76" i="112"/>
  <c r="F21" i="96"/>
  <c r="G21" i="96"/>
  <c r="I21" i="96"/>
  <c r="I57" i="112"/>
  <c r="F58" i="96"/>
  <c r="G58" i="96"/>
  <c r="I58" i="96"/>
  <c r="F73" i="96"/>
  <c r="G73" i="96"/>
  <c r="I73" i="96"/>
  <c r="F87" i="96"/>
  <c r="G87" i="96"/>
  <c r="I87" i="96"/>
  <c r="Y572" i="92"/>
  <c r="K23" i="112"/>
  <c r="K25" i="112"/>
  <c r="J25" i="112"/>
  <c r="J39" i="112"/>
  <c r="K39" i="112"/>
  <c r="K49" i="112"/>
  <c r="J49" i="112"/>
  <c r="K53" i="112"/>
  <c r="J53" i="112"/>
  <c r="F75" i="112"/>
  <c r="G75" i="112"/>
  <c r="I75" i="112"/>
  <c r="F89" i="96"/>
  <c r="G89" i="96"/>
  <c r="I89" i="96"/>
  <c r="J78" i="112"/>
  <c r="K78" i="112"/>
  <c r="J50" i="71"/>
  <c r="O50" i="71"/>
  <c r="K50" i="71"/>
  <c r="M14" i="71"/>
  <c r="J110" i="99"/>
  <c r="K110" i="99"/>
  <c r="C109" i="99"/>
  <c r="D109" i="99"/>
  <c r="I111" i="99"/>
  <c r="J111" i="99"/>
  <c r="K111" i="99"/>
  <c r="M111" i="99"/>
  <c r="N111" i="99"/>
  <c r="N192" i="99"/>
  <c r="O192" i="99"/>
  <c r="I95" i="99"/>
  <c r="J93" i="99"/>
  <c r="J90" i="99"/>
  <c r="K78" i="99"/>
  <c r="M78" i="99"/>
  <c r="N78" i="99"/>
  <c r="F63" i="99"/>
  <c r="C73" i="99"/>
  <c r="G73" i="99"/>
  <c r="I77" i="99"/>
  <c r="J77" i="99"/>
  <c r="K77" i="99"/>
  <c r="M77" i="99"/>
  <c r="O77" i="99"/>
  <c r="J73" i="99"/>
  <c r="J76" i="99"/>
  <c r="J59" i="99"/>
  <c r="K59" i="99"/>
  <c r="M59" i="99"/>
  <c r="N59" i="99"/>
  <c r="G106" i="99"/>
  <c r="O191" i="99"/>
  <c r="O187" i="99"/>
  <c r="O190" i="99"/>
  <c r="N190" i="99"/>
  <c r="O189" i="99"/>
  <c r="N189" i="99"/>
  <c r="J99" i="96"/>
  <c r="K99" i="96"/>
  <c r="J85" i="112"/>
  <c r="J98" i="96"/>
  <c r="K98" i="96"/>
  <c r="K84" i="112"/>
  <c r="J84" i="112"/>
  <c r="J82" i="112"/>
  <c r="J41" i="95"/>
  <c r="K41" i="95"/>
  <c r="K42" i="95"/>
  <c r="J42" i="95"/>
  <c r="G33" i="95"/>
  <c r="K40" i="95"/>
  <c r="I33" i="95"/>
  <c r="K41" i="71"/>
  <c r="J41" i="71"/>
  <c r="P41" i="71"/>
  <c r="K49" i="71"/>
  <c r="J49" i="71"/>
  <c r="P49" i="71"/>
  <c r="K48" i="71"/>
  <c r="I83" i="112"/>
  <c r="K83" i="112"/>
  <c r="I97" i="96"/>
  <c r="J57" i="71"/>
  <c r="K57" i="71"/>
  <c r="I54" i="95"/>
  <c r="G53" i="95"/>
  <c r="J44" i="72"/>
  <c r="K44" i="72"/>
  <c r="P36" i="97"/>
  <c r="M35" i="97"/>
  <c r="I45" i="72"/>
  <c r="P37" i="97"/>
  <c r="K53" i="101"/>
  <c r="N35" i="97"/>
  <c r="P38" i="97"/>
  <c r="L35" i="97"/>
  <c r="P16" i="97"/>
  <c r="P15" i="97"/>
  <c r="P21" i="97"/>
  <c r="I58" i="71"/>
  <c r="G56" i="71"/>
  <c r="J28" i="71"/>
  <c r="N28" i="71"/>
  <c r="K28" i="71"/>
  <c r="K27" i="71"/>
  <c r="J27" i="71"/>
  <c r="N27" i="71"/>
  <c r="K15" i="71"/>
  <c r="J15" i="71"/>
  <c r="M15" i="71"/>
  <c r="K26" i="71"/>
  <c r="K14" i="71"/>
  <c r="C24" i="99"/>
  <c r="E24" i="99"/>
  <c r="P24" i="97"/>
  <c r="P25" i="97"/>
  <c r="V235" i="92"/>
  <c r="Q49" i="92"/>
  <c r="Q69" i="92"/>
  <c r="Q103" i="92"/>
  <c r="Q127" i="92"/>
  <c r="Q200" i="92"/>
  <c r="Q217" i="92"/>
  <c r="Q249" i="92"/>
  <c r="Q128" i="92"/>
  <c r="Q224" i="92"/>
  <c r="Q59" i="92"/>
  <c r="Q75" i="92"/>
  <c r="Q85" i="92"/>
  <c r="Q87" i="92"/>
  <c r="Q98" i="92"/>
  <c r="Q183" i="92"/>
  <c r="Q225" i="92"/>
  <c r="Q261" i="92"/>
  <c r="Q355" i="92"/>
  <c r="V133" i="92"/>
  <c r="Q55" i="92"/>
  <c r="Q71" i="92"/>
  <c r="Q112" i="92"/>
  <c r="Q186" i="92"/>
  <c r="Q203" i="92"/>
  <c r="Q233" i="92"/>
  <c r="Q254" i="92"/>
  <c r="Q84" i="92"/>
  <c r="Q57" i="92"/>
  <c r="Q67" i="92"/>
  <c r="Q120" i="92"/>
  <c r="Q135" i="92"/>
  <c r="Q192" i="92"/>
  <c r="Q234" i="92"/>
  <c r="Q270" i="92"/>
  <c r="V103" i="92"/>
  <c r="V135" i="92"/>
  <c r="U507" i="92"/>
  <c r="C41" i="98"/>
  <c r="E41" i="98"/>
  <c r="F41" i="98"/>
  <c r="I41" i="98"/>
  <c r="W22" i="92"/>
  <c r="U263" i="92"/>
  <c r="C14" i="98"/>
  <c r="E14" i="98"/>
  <c r="F14" i="98"/>
  <c r="I14" i="98"/>
  <c r="L346" i="92"/>
  <c r="C23" i="98"/>
  <c r="E23" i="98"/>
  <c r="F23" i="98"/>
  <c r="I23" i="98"/>
  <c r="K457" i="92"/>
  <c r="E457" i="92"/>
  <c r="U248" i="92"/>
  <c r="C6" i="98"/>
  <c r="E6" i="98"/>
  <c r="F6" i="98"/>
  <c r="I6" i="98"/>
  <c r="C25" i="98"/>
  <c r="E25" i="98"/>
  <c r="F25" i="98"/>
  <c r="I25" i="98"/>
  <c r="K523" i="92"/>
  <c r="C34" i="98"/>
  <c r="E34" i="98"/>
  <c r="F34" i="98"/>
  <c r="C19" i="98"/>
  <c r="E19" i="98"/>
  <c r="F19" i="98"/>
  <c r="I19" i="98"/>
  <c r="C27" i="98"/>
  <c r="E27" i="98"/>
  <c r="F27" i="98"/>
  <c r="I27" i="98"/>
  <c r="J537" i="92"/>
  <c r="E537" i="92"/>
  <c r="C36" i="98"/>
  <c r="E36" i="98"/>
  <c r="F36" i="98"/>
  <c r="I36" i="98"/>
  <c r="AD52" i="92"/>
  <c r="C17" i="98"/>
  <c r="E17" i="98"/>
  <c r="F17" i="98"/>
  <c r="I17" i="98"/>
  <c r="H388" i="92"/>
  <c r="C43" i="98"/>
  <c r="E43" i="98"/>
  <c r="U112" i="92"/>
  <c r="C12" i="98"/>
  <c r="E12" i="98"/>
  <c r="F12" i="98"/>
  <c r="I12" i="98"/>
  <c r="H260" i="92"/>
  <c r="C21" i="98"/>
  <c r="E21" i="98"/>
  <c r="F21" i="98"/>
  <c r="I21" i="98"/>
  <c r="K479" i="92"/>
  <c r="C29" i="98"/>
  <c r="E29" i="98"/>
  <c r="F29" i="98"/>
  <c r="I29" i="98"/>
  <c r="J553" i="92"/>
  <c r="E553" i="92"/>
  <c r="C38" i="98"/>
  <c r="E38" i="98"/>
  <c r="F38" i="98"/>
  <c r="I38" i="98"/>
  <c r="AD357" i="92"/>
  <c r="O121" i="92"/>
  <c r="O182" i="92"/>
  <c r="U111" i="92"/>
  <c r="U485" i="92"/>
  <c r="C16" i="98"/>
  <c r="E16" i="98"/>
  <c r="F16" i="98"/>
  <c r="I16" i="98"/>
  <c r="H375" i="92"/>
  <c r="C20" i="98"/>
  <c r="E20" i="98"/>
  <c r="F20" i="98"/>
  <c r="I20" i="98"/>
  <c r="I408" i="92"/>
  <c r="C24" i="98"/>
  <c r="E24" i="98"/>
  <c r="F24" i="98"/>
  <c r="I24" i="98"/>
  <c r="K506" i="92"/>
  <c r="C28" i="98"/>
  <c r="E28" i="98"/>
  <c r="F28" i="98"/>
  <c r="I28" i="98"/>
  <c r="J549" i="92"/>
  <c r="E549" i="92"/>
  <c r="C33" i="98"/>
  <c r="E33" i="98"/>
  <c r="F33" i="98"/>
  <c r="I33" i="98"/>
  <c r="AD595" i="92"/>
  <c r="C37" i="98"/>
  <c r="E37" i="98"/>
  <c r="F37" i="98"/>
  <c r="I37" i="98"/>
  <c r="AD71" i="92"/>
  <c r="C42" i="98"/>
  <c r="E42" i="98"/>
  <c r="C9" i="98"/>
  <c r="E9" i="98"/>
  <c r="F9" i="98"/>
  <c r="C4" i="98"/>
  <c r="E4" i="98"/>
  <c r="F4" i="98"/>
  <c r="I4" i="98"/>
  <c r="C5" i="98"/>
  <c r="E5" i="98"/>
  <c r="F5" i="98"/>
  <c r="I5" i="98"/>
  <c r="C13" i="98"/>
  <c r="E13" i="98"/>
  <c r="F13" i="98"/>
  <c r="I13" i="98"/>
  <c r="L129" i="92"/>
  <c r="C18" i="98"/>
  <c r="E18" i="98"/>
  <c r="F18" i="98"/>
  <c r="I18" i="98"/>
  <c r="H389" i="92"/>
  <c r="C22" i="98"/>
  <c r="E22" i="98"/>
  <c r="F22" i="98"/>
  <c r="I22" i="98"/>
  <c r="K496" i="92"/>
  <c r="C26" i="98"/>
  <c r="E26" i="98"/>
  <c r="F26" i="98"/>
  <c r="I26" i="98"/>
  <c r="C30" i="98"/>
  <c r="E30" i="98"/>
  <c r="F30" i="98"/>
  <c r="I30" i="98"/>
  <c r="J564" i="92"/>
  <c r="E564" i="92"/>
  <c r="C35" i="98"/>
  <c r="E35" i="98"/>
  <c r="F35" i="98"/>
  <c r="I35" i="98"/>
  <c r="C39" i="98"/>
  <c r="E39" i="98"/>
  <c r="F39" i="98"/>
  <c r="I39" i="98"/>
  <c r="AD131" i="92"/>
  <c r="C48" i="98"/>
  <c r="E48" i="98"/>
  <c r="I48" i="98"/>
  <c r="AB569" i="92"/>
  <c r="J13" i="71"/>
  <c r="M13" i="71"/>
  <c r="K13" i="71"/>
  <c r="K42" i="71"/>
  <c r="J42" i="71"/>
  <c r="P42" i="71"/>
  <c r="J40" i="71"/>
  <c r="K40" i="71"/>
  <c r="N197" i="99"/>
  <c r="O197" i="99"/>
  <c r="C58" i="99"/>
  <c r="D58" i="99"/>
  <c r="K61" i="99"/>
  <c r="M61" i="99"/>
  <c r="N61" i="99"/>
  <c r="J42" i="99"/>
  <c r="I43" i="99"/>
  <c r="J43" i="99"/>
  <c r="K43" i="99"/>
  <c r="M43" i="99"/>
  <c r="N43" i="99"/>
  <c r="K44" i="99"/>
  <c r="M44" i="99"/>
  <c r="O44" i="99"/>
  <c r="J25" i="99"/>
  <c r="O193" i="99"/>
  <c r="N193" i="99"/>
  <c r="O67" i="99"/>
  <c r="N67" i="99"/>
  <c r="O72" i="99"/>
  <c r="N72" i="99"/>
  <c r="N101" i="99"/>
  <c r="O101" i="99"/>
  <c r="N20" i="99"/>
  <c r="O20" i="99"/>
  <c r="N84" i="99"/>
  <c r="J107" i="99"/>
  <c r="N21" i="99"/>
  <c r="O21" i="99"/>
  <c r="N87" i="99"/>
  <c r="O87" i="99"/>
  <c r="M183" i="99"/>
  <c r="N185" i="99"/>
  <c r="O185" i="99"/>
  <c r="N70" i="99"/>
  <c r="O70" i="99"/>
  <c r="O16" i="99"/>
  <c r="J22" i="99"/>
  <c r="G21" i="99"/>
  <c r="N55" i="99"/>
  <c r="O55" i="99"/>
  <c r="O71" i="99"/>
  <c r="N71" i="99"/>
  <c r="O37" i="99"/>
  <c r="N37" i="99"/>
  <c r="O89" i="99"/>
  <c r="N89" i="99"/>
  <c r="O50" i="99"/>
  <c r="O33" i="99"/>
  <c r="N33" i="99"/>
  <c r="O88" i="99"/>
  <c r="N88" i="99"/>
  <c r="O19" i="99"/>
  <c r="N19" i="99"/>
  <c r="O105" i="99"/>
  <c r="N105" i="99"/>
  <c r="K112" i="99"/>
  <c r="M112" i="99"/>
  <c r="N112" i="99"/>
  <c r="N106" i="99"/>
  <c r="O106" i="99"/>
  <c r="N104" i="99"/>
  <c r="O104" i="99"/>
  <c r="G97" i="99"/>
  <c r="C97" i="99"/>
  <c r="G107" i="99"/>
  <c r="O301" i="92"/>
  <c r="O78" i="92"/>
  <c r="N53" i="99"/>
  <c r="O53" i="99"/>
  <c r="F56" i="99"/>
  <c r="E56" i="99"/>
  <c r="I59" i="99"/>
  <c r="N54" i="99"/>
  <c r="O54" i="99"/>
  <c r="G46" i="99"/>
  <c r="C46" i="99"/>
  <c r="J56" i="99"/>
  <c r="K56" i="99"/>
  <c r="M56" i="99"/>
  <c r="G56" i="99"/>
  <c r="I60" i="99"/>
  <c r="J60" i="99"/>
  <c r="K60" i="99"/>
  <c r="M60" i="99"/>
  <c r="N36" i="99"/>
  <c r="O36" i="99"/>
  <c r="M188" i="99"/>
  <c r="K182" i="99"/>
  <c r="F29" i="99"/>
  <c r="C39" i="99"/>
  <c r="C41" i="99"/>
  <c r="G38" i="99"/>
  <c r="U239" i="92"/>
  <c r="U499" i="92"/>
  <c r="U522" i="92"/>
  <c r="U490" i="92"/>
  <c r="U505" i="92"/>
  <c r="U520" i="92"/>
  <c r="U484" i="92"/>
  <c r="U131" i="92"/>
  <c r="U246" i="92"/>
  <c r="U133" i="92"/>
  <c r="U93" i="92"/>
  <c r="U95" i="92"/>
  <c r="U271" i="92"/>
  <c r="U134" i="92"/>
  <c r="U244" i="92"/>
  <c r="U227" i="92"/>
  <c r="U114" i="92"/>
  <c r="U123" i="92"/>
  <c r="U101" i="92"/>
  <c r="U523" i="92"/>
  <c r="U495" i="92"/>
  <c r="U510" i="92"/>
  <c r="U482" i="92"/>
  <c r="U501" i="92"/>
  <c r="U512" i="92"/>
  <c r="U480" i="92"/>
  <c r="U234" i="92"/>
  <c r="U237" i="92"/>
  <c r="U243" i="92"/>
  <c r="U100" i="92"/>
  <c r="U124" i="92"/>
  <c r="U267" i="92"/>
  <c r="U130" i="92"/>
  <c r="U235" i="92"/>
  <c r="U231" i="92"/>
  <c r="U127" i="92"/>
  <c r="U105" i="92"/>
  <c r="U121" i="92"/>
  <c r="U656" i="92"/>
  <c r="U515" i="92"/>
  <c r="U483" i="92"/>
  <c r="U506" i="92"/>
  <c r="U521" i="92"/>
  <c r="U489" i="92"/>
  <c r="U504" i="92"/>
  <c r="U108" i="92"/>
  <c r="U242" i="92"/>
  <c r="U103" i="92"/>
  <c r="U249" i="92"/>
  <c r="U251" i="92"/>
  <c r="U98" i="92"/>
  <c r="U97" i="92"/>
  <c r="U257" i="92"/>
  <c r="U509" i="92"/>
  <c r="U118" i="92"/>
  <c r="U238" i="92"/>
  <c r="U253" i="92"/>
  <c r="U94" i="92"/>
  <c r="U259" i="92"/>
  <c r="U264" i="92"/>
  <c r="U99" i="92"/>
  <c r="U498" i="92"/>
  <c r="U110" i="92"/>
  <c r="U254" i="92"/>
  <c r="U128" i="92"/>
  <c r="U115" i="92"/>
  <c r="U266" i="92"/>
  <c r="U228" i="92"/>
  <c r="U500" i="92"/>
  <c r="U479" i="92"/>
  <c r="O193" i="92"/>
  <c r="O126" i="92"/>
  <c r="O487" i="92"/>
  <c r="O114" i="92"/>
  <c r="O230" i="92"/>
  <c r="O60" i="92"/>
  <c r="V229" i="92"/>
  <c r="O213" i="92"/>
  <c r="O253" i="92"/>
  <c r="V263" i="92"/>
  <c r="O271" i="92"/>
  <c r="V94" i="92"/>
  <c r="O225" i="92"/>
  <c r="O500" i="92"/>
  <c r="C40" i="98"/>
  <c r="E40" i="98"/>
  <c r="F40" i="98"/>
  <c r="I40" i="98"/>
  <c r="O68" i="92"/>
  <c r="O258" i="92"/>
  <c r="O83" i="92"/>
  <c r="O221" i="92"/>
  <c r="O62" i="92"/>
  <c r="V244" i="92"/>
  <c r="O206" i="92"/>
  <c r="O200" i="92"/>
  <c r="O86" i="92"/>
  <c r="O95" i="92"/>
  <c r="V106" i="92"/>
  <c r="O521" i="92"/>
  <c r="O51" i="92"/>
  <c r="O55" i="92"/>
  <c r="O74" i="92"/>
  <c r="O76" i="92"/>
  <c r="O112" i="92"/>
  <c r="O101" i="92"/>
  <c r="O203" i="92"/>
  <c r="O227" i="92"/>
  <c r="O195" i="92"/>
  <c r="O184" i="92"/>
  <c r="O247" i="92"/>
  <c r="O215" i="92"/>
  <c r="O217" i="92"/>
  <c r="O128" i="92"/>
  <c r="O226" i="92"/>
  <c r="O79" i="92"/>
  <c r="O66" i="92"/>
  <c r="O93" i="92"/>
  <c r="O185" i="92"/>
  <c r="O234" i="92"/>
  <c r="O257" i="92"/>
  <c r="O520" i="92"/>
  <c r="O482" i="92"/>
  <c r="O511" i="92"/>
  <c r="O378" i="92"/>
  <c r="O80" i="92"/>
  <c r="O69" i="92"/>
  <c r="O56" i="92"/>
  <c r="O119" i="92"/>
  <c r="O110" i="92"/>
  <c r="O116" i="92"/>
  <c r="O241" i="92"/>
  <c r="O188" i="92"/>
  <c r="O211" i="92"/>
  <c r="O231" i="92"/>
  <c r="O197" i="92"/>
  <c r="O254" i="92"/>
  <c r="O256" i="92"/>
  <c r="O229" i="92"/>
  <c r="O130" i="92"/>
  <c r="O267" i="92"/>
  <c r="O91" i="92"/>
  <c r="O54" i="92"/>
  <c r="O111" i="92"/>
  <c r="O246" i="92"/>
  <c r="O261" i="92"/>
  <c r="O214" i="92"/>
  <c r="O99" i="92"/>
  <c r="O220" i="92"/>
  <c r="O499" i="92"/>
  <c r="O481" i="92"/>
  <c r="O498" i="92"/>
  <c r="Q346" i="92"/>
  <c r="Q311" i="92"/>
  <c r="Q364" i="92"/>
  <c r="Q323" i="92"/>
  <c r="Q318" i="92"/>
  <c r="Q297" i="92"/>
  <c r="Q277" i="92"/>
  <c r="Q239" i="92"/>
  <c r="Q194" i="92"/>
  <c r="Q90" i="92"/>
  <c r="Q264" i="92"/>
  <c r="Q255" i="92"/>
  <c r="Q246" i="92"/>
  <c r="Q237" i="92"/>
  <c r="Q228" i="92"/>
  <c r="Q219" i="92"/>
  <c r="Q207" i="92"/>
  <c r="Q196" i="92"/>
  <c r="Q185" i="92"/>
  <c r="Q131" i="92"/>
  <c r="Q122" i="92"/>
  <c r="Q111" i="92"/>
  <c r="Q102" i="92"/>
  <c r="Q93" i="92"/>
  <c r="Q92" i="92"/>
  <c r="Q86" i="92"/>
  <c r="Q79" i="92"/>
  <c r="Q70" i="92"/>
  <c r="Q61" i="92"/>
  <c r="Q52" i="92"/>
  <c r="Q271" i="92"/>
  <c r="Q263" i="92"/>
  <c r="Q218" i="92"/>
  <c r="Q130" i="92"/>
  <c r="Q260" i="92"/>
  <c r="Q253" i="92"/>
  <c r="Q245" i="92"/>
  <c r="Q236" i="92"/>
  <c r="Q229" i="92"/>
  <c r="Q213" i="92"/>
  <c r="Q206" i="92"/>
  <c r="Q199" i="92"/>
  <c r="Q191" i="92"/>
  <c r="Q184" i="92"/>
  <c r="Q123" i="92"/>
  <c r="Q116" i="92"/>
  <c r="Q107" i="92"/>
  <c r="Q82" i="92"/>
  <c r="Q74" i="92"/>
  <c r="Q68" i="92"/>
  <c r="Q60" i="92"/>
  <c r="Q53" i="92"/>
  <c r="Q356" i="92"/>
  <c r="Q298" i="92"/>
  <c r="Q287" i="92"/>
  <c r="Q272" i="92"/>
  <c r="Q273" i="92"/>
  <c r="Q202" i="92"/>
  <c r="Q99" i="92"/>
  <c r="Q266" i="92"/>
  <c r="Q257" i="92"/>
  <c r="Q248" i="92"/>
  <c r="Q240" i="92"/>
  <c r="Q230" i="92"/>
  <c r="Q222" i="92"/>
  <c r="Q210" i="92"/>
  <c r="Q198" i="92"/>
  <c r="Q187" i="92"/>
  <c r="Q133" i="92"/>
  <c r="Q124" i="92"/>
  <c r="Q115" i="92"/>
  <c r="Q104" i="92"/>
  <c r="Q95" i="92"/>
  <c r="Q94" i="92"/>
  <c r="Q88" i="92"/>
  <c r="Q81" i="92"/>
  <c r="Q72" i="92"/>
  <c r="Q63" i="92"/>
  <c r="Q54" i="92"/>
  <c r="Q265" i="92"/>
  <c r="Q221" i="92"/>
  <c r="Q132" i="92"/>
  <c r="Q83" i="92"/>
  <c r="Q258" i="92"/>
  <c r="Q251" i="92"/>
  <c r="Q244" i="92"/>
  <c r="Q235" i="92"/>
  <c r="Q227" i="92"/>
  <c r="Q211" i="92"/>
  <c r="Q204" i="92"/>
  <c r="Q197" i="92"/>
  <c r="Q190" i="92"/>
  <c r="Q182" i="92"/>
  <c r="Q121" i="92"/>
  <c r="Q114" i="92"/>
  <c r="Q105" i="92"/>
  <c r="Q80" i="92"/>
  <c r="Q73" i="92"/>
  <c r="Q65" i="92"/>
  <c r="Q58" i="92"/>
  <c r="Q51" i="92"/>
  <c r="Q331" i="92"/>
  <c r="Q319" i="92"/>
  <c r="Q289" i="92"/>
  <c r="Q212" i="92"/>
  <c r="Q268" i="92"/>
  <c r="Q250" i="92"/>
  <c r="Q232" i="92"/>
  <c r="Q214" i="92"/>
  <c r="Q189" i="92"/>
  <c r="Q126" i="92"/>
  <c r="Q106" i="92"/>
  <c r="Q96" i="92"/>
  <c r="Q66" i="92"/>
  <c r="Q48" i="92"/>
  <c r="Q269" i="92"/>
  <c r="Q136" i="92"/>
  <c r="Q262" i="92"/>
  <c r="Q247" i="92"/>
  <c r="Q231" i="92"/>
  <c r="Q208" i="92"/>
  <c r="Q193" i="92"/>
  <c r="Q125" i="92"/>
  <c r="Q110" i="92"/>
  <c r="Q76" i="92"/>
  <c r="Q62" i="92"/>
  <c r="Q47" i="92"/>
  <c r="Q350" i="92"/>
  <c r="Q357" i="92"/>
  <c r="Q293" i="92"/>
  <c r="Q108" i="92"/>
  <c r="Q259" i="92"/>
  <c r="Q242" i="92"/>
  <c r="Q223" i="92"/>
  <c r="Q201" i="92"/>
  <c r="O592" i="92"/>
  <c r="O644" i="92"/>
  <c r="O415" i="92"/>
  <c r="O239" i="92"/>
  <c r="O503" i="92"/>
  <c r="O514" i="92"/>
  <c r="O494" i="92"/>
  <c r="O513" i="92"/>
  <c r="O493" i="92"/>
  <c r="O516" i="92"/>
  <c r="O492" i="92"/>
  <c r="O491" i="92"/>
  <c r="O108" i="92"/>
  <c r="O131" i="92"/>
  <c r="O266" i="92"/>
  <c r="O240" i="92"/>
  <c r="O222" i="92"/>
  <c r="O237" i="92"/>
  <c r="O242" i="92"/>
  <c r="O192" i="92"/>
  <c r="O102" i="92"/>
  <c r="O104" i="92"/>
  <c r="O77" i="92"/>
  <c r="O61" i="92"/>
  <c r="O72" i="92"/>
  <c r="O94" i="92"/>
  <c r="O52" i="92"/>
  <c r="O634" i="92"/>
  <c r="O402" i="92"/>
  <c r="O519" i="92"/>
  <c r="O495" i="92"/>
  <c r="O510" i="92"/>
  <c r="O486" i="92"/>
  <c r="O509" i="92"/>
  <c r="O489" i="92"/>
  <c r="O508" i="92"/>
  <c r="O488" i="92"/>
  <c r="O483" i="92"/>
  <c r="O212" i="92"/>
  <c r="O250" i="92"/>
  <c r="O264" i="92"/>
  <c r="O252" i="92"/>
  <c r="O232" i="92"/>
  <c r="O129" i="92"/>
  <c r="O219" i="92"/>
  <c r="O268" i="92"/>
  <c r="O135" i="92"/>
  <c r="O120" i="92"/>
  <c r="O109" i="92"/>
  <c r="O117" i="92"/>
  <c r="O59" i="92"/>
  <c r="O98" i="92"/>
  <c r="O63" i="92"/>
  <c r="O87" i="92"/>
  <c r="O48" i="92"/>
  <c r="O578" i="92"/>
  <c r="O515" i="92"/>
  <c r="O502" i="92"/>
  <c r="O505" i="92"/>
  <c r="O504" i="92"/>
  <c r="O189" i="92"/>
  <c r="O259" i="92"/>
  <c r="O205" i="92"/>
  <c r="O196" i="92"/>
  <c r="O122" i="92"/>
  <c r="O96" i="92"/>
  <c r="O81" i="92"/>
  <c r="O57" i="92"/>
  <c r="O263" i="92"/>
  <c r="O132" i="92"/>
  <c r="O84" i="92"/>
  <c r="O204" i="92"/>
  <c r="O235" i="92"/>
  <c r="O260" i="92"/>
  <c r="O245" i="92"/>
  <c r="O244" i="92"/>
  <c r="O208" i="92"/>
  <c r="O233" i="92"/>
  <c r="O191" i="92"/>
  <c r="O249" i="92"/>
  <c r="O103" i="92"/>
  <c r="O127" i="92"/>
  <c r="O123" i="92"/>
  <c r="O105" i="92"/>
  <c r="O73" i="92"/>
  <c r="O58" i="92"/>
  <c r="O82" i="92"/>
  <c r="O65" i="92"/>
  <c r="O49" i="92"/>
  <c r="O373" i="92"/>
  <c r="O64" i="92"/>
  <c r="O53" i="92"/>
  <c r="O71" i="92"/>
  <c r="O47" i="92"/>
  <c r="O107" i="92"/>
  <c r="O125" i="92"/>
  <c r="O118" i="92"/>
  <c r="O199" i="92"/>
  <c r="O186" i="92"/>
  <c r="O251" i="92"/>
  <c r="O238" i="92"/>
  <c r="O209" i="92"/>
  <c r="O190" i="92"/>
  <c r="O262" i="92"/>
  <c r="O236" i="92"/>
  <c r="O136" i="92"/>
  <c r="O218" i="92"/>
  <c r="O269" i="92"/>
  <c r="O92" i="92"/>
  <c r="O97" i="92"/>
  <c r="O201" i="92"/>
  <c r="O216" i="92"/>
  <c r="O210" i="92"/>
  <c r="O90" i="92"/>
  <c r="O202" i="92"/>
  <c r="O484" i="92"/>
  <c r="O497" i="92"/>
  <c r="O518" i="92"/>
  <c r="Q177" i="92"/>
  <c r="Q653" i="92"/>
  <c r="Q24" i="92"/>
  <c r="C10" i="98"/>
  <c r="E10" i="98"/>
  <c r="F10" i="98"/>
  <c r="I10" i="98"/>
  <c r="V125" i="92"/>
  <c r="V251" i="92"/>
  <c r="V128" i="92"/>
  <c r="T203" i="92"/>
  <c r="Q8" i="92"/>
  <c r="Q19" i="92"/>
  <c r="V119" i="92"/>
  <c r="V260" i="92"/>
  <c r="V117" i="92"/>
  <c r="V255" i="92"/>
  <c r="V108" i="92"/>
  <c r="V281" i="92"/>
  <c r="Q315" i="92"/>
  <c r="T256" i="92"/>
  <c r="T56" i="92"/>
  <c r="T241" i="92"/>
  <c r="O387" i="92"/>
  <c r="U372" i="92"/>
  <c r="U511" i="92"/>
  <c r="U491" i="92"/>
  <c r="U514" i="92"/>
  <c r="U494" i="92"/>
  <c r="U517" i="92"/>
  <c r="U493" i="92"/>
  <c r="U516" i="92"/>
  <c r="U496" i="92"/>
  <c r="U255" i="92"/>
  <c r="U261" i="92"/>
  <c r="U230" i="92"/>
  <c r="U232" i="92"/>
  <c r="U240" i="92"/>
  <c r="U106" i="92"/>
  <c r="U122" i="92"/>
  <c r="U109" i="92"/>
  <c r="U96" i="92"/>
  <c r="U265" i="92"/>
  <c r="U136" i="92"/>
  <c r="U245" i="92"/>
  <c r="U233" i="92"/>
  <c r="U236" i="92"/>
  <c r="U262" i="92"/>
  <c r="U125" i="92"/>
  <c r="O303" i="92"/>
  <c r="O321" i="92"/>
  <c r="O664" i="92"/>
  <c r="O654" i="92"/>
  <c r="O607" i="92"/>
  <c r="O413" i="92"/>
  <c r="O385" i="92"/>
  <c r="O523" i="92"/>
  <c r="O507" i="92"/>
  <c r="O522" i="92"/>
  <c r="O506" i="92"/>
  <c r="O490" i="92"/>
  <c r="O517" i="92"/>
  <c r="O501" i="92"/>
  <c r="O485" i="92"/>
  <c r="O512" i="92"/>
  <c r="O496" i="92"/>
  <c r="O480" i="92"/>
  <c r="O479" i="92"/>
  <c r="O194" i="92"/>
  <c r="O113" i="92"/>
  <c r="O243" i="92"/>
  <c r="O270" i="92"/>
  <c r="O183" i="92"/>
  <c r="O187" i="92"/>
  <c r="O223" i="92"/>
  <c r="O198" i="92"/>
  <c r="O133" i="92"/>
  <c r="O248" i="92"/>
  <c r="O255" i="92"/>
  <c r="O228" i="92"/>
  <c r="O207" i="92"/>
  <c r="O100" i="92"/>
  <c r="O106" i="92"/>
  <c r="O124" i="92"/>
  <c r="O115" i="92"/>
  <c r="O89" i="92"/>
  <c r="O70" i="92"/>
  <c r="O85" i="92"/>
  <c r="O67" i="92"/>
  <c r="O88" i="92"/>
  <c r="O75" i="92"/>
  <c r="O50" i="92"/>
  <c r="O265" i="92"/>
  <c r="O224" i="92"/>
  <c r="O134" i="92"/>
  <c r="O290" i="92"/>
  <c r="O643" i="92"/>
  <c r="O616" i="92"/>
  <c r="O594" i="92"/>
  <c r="O403" i="92"/>
  <c r="O375" i="92"/>
  <c r="V123" i="92"/>
  <c r="V127" i="92"/>
  <c r="V114" i="92"/>
  <c r="V121" i="92"/>
  <c r="V253" i="92"/>
  <c r="V241" i="92"/>
  <c r="V231" i="92"/>
  <c r="V247" i="92"/>
  <c r="V136" i="92"/>
  <c r="V271" i="92"/>
  <c r="V102" i="92"/>
  <c r="V257" i="92"/>
  <c r="V270" i="92"/>
  <c r="V237" i="92"/>
  <c r="V287" i="92"/>
  <c r="V110" i="92"/>
  <c r="V116" i="92"/>
  <c r="V105" i="92"/>
  <c r="V256" i="92"/>
  <c r="V236" i="92"/>
  <c r="V254" i="92"/>
  <c r="V245" i="92"/>
  <c r="V262" i="92"/>
  <c r="V109" i="92"/>
  <c r="V93" i="92"/>
  <c r="V248" i="92"/>
  <c r="V228" i="92"/>
  <c r="V243" i="92"/>
  <c r="T71" i="92"/>
  <c r="T121" i="92"/>
  <c r="T217" i="92"/>
  <c r="V276" i="92"/>
  <c r="V101" i="92"/>
  <c r="V112" i="92"/>
  <c r="V118" i="92"/>
  <c r="V107" i="92"/>
  <c r="V238" i="92"/>
  <c r="V227" i="92"/>
  <c r="V258" i="92"/>
  <c r="V233" i="92"/>
  <c r="V249" i="92"/>
  <c r="V132" i="92"/>
  <c r="V267" i="92"/>
  <c r="V98" i="92"/>
  <c r="V124" i="92"/>
  <c r="V120" i="92"/>
  <c r="V126" i="92"/>
  <c r="V252" i="92"/>
  <c r="V234" i="92"/>
  <c r="T188" i="92"/>
  <c r="O376" i="92"/>
  <c r="O404" i="92"/>
  <c r="O398" i="92"/>
  <c r="O603" i="92"/>
  <c r="O609" i="92"/>
  <c r="O623" i="92"/>
  <c r="O369" i="92"/>
  <c r="T316" i="92"/>
  <c r="T81" i="92"/>
  <c r="T79" i="92"/>
  <c r="T77" i="92"/>
  <c r="T75" i="92"/>
  <c r="T72" i="92"/>
  <c r="T70" i="92"/>
  <c r="T67" i="92"/>
  <c r="T66" i="92"/>
  <c r="T63" i="92"/>
  <c r="T61" i="92"/>
  <c r="T59" i="92"/>
  <c r="T57" i="92"/>
  <c r="T54" i="92"/>
  <c r="T254" i="92"/>
  <c r="T238" i="92"/>
  <c r="T215" i="92"/>
  <c r="T200" i="92"/>
  <c r="T186" i="92"/>
  <c r="T119" i="92"/>
  <c r="T103" i="92"/>
  <c r="T69" i="92"/>
  <c r="T55" i="92"/>
  <c r="T357" i="92"/>
  <c r="T262" i="92"/>
  <c r="T247" i="92"/>
  <c r="T231" i="92"/>
  <c r="T208" i="92"/>
  <c r="T193" i="92"/>
  <c r="T127" i="92"/>
  <c r="T112" i="92"/>
  <c r="T76" i="92"/>
  <c r="T62" i="92"/>
  <c r="T47" i="92"/>
  <c r="Q586" i="92"/>
  <c r="Q601" i="92"/>
  <c r="Q39" i="92"/>
  <c r="Q45" i="92"/>
  <c r="Q25" i="92"/>
  <c r="Q4" i="92"/>
  <c r="Q38" i="92"/>
  <c r="Q35" i="92"/>
  <c r="Q20" i="92"/>
  <c r="Q5" i="92"/>
  <c r="Q627" i="92"/>
  <c r="Q152" i="92"/>
  <c r="Q3" i="92"/>
  <c r="Q40" i="92"/>
  <c r="Q15" i="92"/>
  <c r="Q46" i="92"/>
  <c r="Q28" i="92"/>
  <c r="Q11" i="92"/>
  <c r="T49" i="92"/>
  <c r="T78" i="92"/>
  <c r="T114" i="92"/>
  <c r="T195" i="92"/>
  <c r="T233" i="92"/>
  <c r="Q16" i="92"/>
  <c r="Q9" i="92"/>
  <c r="T331" i="92"/>
  <c r="V309" i="92"/>
  <c r="V313" i="92"/>
  <c r="V283" i="92"/>
  <c r="V280" i="92"/>
  <c r="V239" i="92"/>
  <c r="V131" i="92"/>
  <c r="V246" i="92"/>
  <c r="V268" i="92"/>
  <c r="V129" i="92"/>
  <c r="V232" i="92"/>
  <c r="V259" i="92"/>
  <c r="V100" i="92"/>
  <c r="V122" i="92"/>
  <c r="V104" i="92"/>
  <c r="V95" i="92"/>
  <c r="V96" i="92"/>
  <c r="V265" i="92"/>
  <c r="V134" i="92"/>
  <c r="V307" i="92"/>
  <c r="V99" i="92"/>
  <c r="V261" i="92"/>
  <c r="V250" i="92"/>
  <c r="V266" i="92"/>
  <c r="V242" i="92"/>
  <c r="V264" i="92"/>
  <c r="V240" i="92"/>
  <c r="V230" i="92"/>
  <c r="V111" i="92"/>
  <c r="V115" i="92"/>
  <c r="V97" i="92"/>
  <c r="V92" i="92"/>
  <c r="V269" i="92"/>
  <c r="V130" i="92"/>
  <c r="Q575" i="92"/>
  <c r="Q611" i="92"/>
  <c r="T64" i="92"/>
  <c r="T209" i="92"/>
  <c r="T249" i="92"/>
  <c r="Q31" i="92"/>
  <c r="Q42" i="92"/>
  <c r="Q30" i="92"/>
  <c r="Q32" i="92"/>
  <c r="Q142" i="92"/>
  <c r="Q646" i="92"/>
  <c r="Q626" i="92"/>
  <c r="Q652" i="92"/>
  <c r="Q633" i="92"/>
  <c r="Q171" i="92"/>
  <c r="Q591" i="92"/>
  <c r="Q616" i="92"/>
  <c r="Q157" i="92"/>
  <c r="Q581" i="92"/>
  <c r="Q658" i="92"/>
  <c r="Q639" i="92"/>
  <c r="Q665" i="92"/>
  <c r="Q598" i="92"/>
  <c r="Q139" i="92"/>
  <c r="Q164" i="92"/>
  <c r="Q584" i="92"/>
  <c r="Q613" i="92"/>
  <c r="Q154" i="92"/>
  <c r="Q6" i="92"/>
  <c r="Q14" i="92"/>
  <c r="Q23" i="92"/>
  <c r="Q29" i="92"/>
  <c r="Q37" i="92"/>
  <c r="Q44" i="92"/>
  <c r="Q7" i="92"/>
  <c r="Q17" i="92"/>
  <c r="Q27" i="92"/>
  <c r="Q43" i="92"/>
  <c r="Q21" i="92"/>
  <c r="Q36" i="92"/>
  <c r="O382" i="92"/>
  <c r="O377" i="92"/>
  <c r="O380" i="92"/>
  <c r="O408" i="92"/>
  <c r="O397" i="92"/>
  <c r="O606" i="92"/>
  <c r="O589" i="92"/>
  <c r="O657" i="92"/>
  <c r="O624" i="92"/>
  <c r="O274" i="92"/>
  <c r="U283" i="92"/>
  <c r="U604" i="92"/>
  <c r="U392" i="92"/>
  <c r="Q145" i="92"/>
  <c r="Q579" i="92"/>
  <c r="Q618" i="92"/>
  <c r="Q659" i="92"/>
  <c r="Q347" i="92"/>
  <c r="Q312" i="92"/>
  <c r="Q358" i="92"/>
  <c r="Q333" i="92"/>
  <c r="Q302" i="92"/>
  <c r="Q365" i="92"/>
  <c r="Q292" i="92"/>
  <c r="Q322" i="92"/>
  <c r="Q281" i="92"/>
  <c r="Q295" i="92"/>
  <c r="Q275" i="92"/>
  <c r="Q296" i="92"/>
  <c r="Q351" i="92"/>
  <c r="Q316" i="92"/>
  <c r="Q308" i="92"/>
  <c r="Q366" i="92"/>
  <c r="Q341" i="92"/>
  <c r="Q325" i="92"/>
  <c r="Q286" i="92"/>
  <c r="Q324" i="92"/>
  <c r="Q363" i="92"/>
  <c r="Q299" i="92"/>
  <c r="Q336" i="92"/>
  <c r="Q279" i="92"/>
  <c r="Q284" i="92"/>
  <c r="Q10" i="92"/>
  <c r="Q18" i="92"/>
  <c r="Q26" i="92"/>
  <c r="Q33" i="92"/>
  <c r="Q41" i="92"/>
  <c r="Q13" i="92"/>
  <c r="Q22" i="92"/>
  <c r="Q34" i="92"/>
  <c r="Q12" i="92"/>
  <c r="O353" i="92"/>
  <c r="O289" i="92"/>
  <c r="O356" i="92"/>
  <c r="O628" i="92"/>
  <c r="O627" i="92"/>
  <c r="O630" i="92"/>
  <c r="O645" i="92"/>
  <c r="O593" i="92"/>
  <c r="O600" i="92"/>
  <c r="O614" i="92"/>
  <c r="O610" i="92"/>
  <c r="O586" i="92"/>
  <c r="O400" i="92"/>
  <c r="O407" i="92"/>
  <c r="O410" i="92"/>
  <c r="O412" i="92"/>
  <c r="O371" i="92"/>
  <c r="O393" i="92"/>
  <c r="O391" i="92"/>
  <c r="O389" i="92"/>
  <c r="O299" i="92"/>
  <c r="O370" i="92"/>
  <c r="O323" i="92"/>
  <c r="O648" i="92"/>
  <c r="O651" i="92"/>
  <c r="O642" i="92"/>
  <c r="O625" i="92"/>
  <c r="O617" i="92"/>
  <c r="O620" i="92"/>
  <c r="O615" i="92"/>
  <c r="O619" i="92"/>
  <c r="O618" i="92"/>
  <c r="O399" i="92"/>
  <c r="O395" i="92"/>
  <c r="O401" i="92"/>
  <c r="O396" i="92"/>
  <c r="O372" i="92"/>
  <c r="O394" i="92"/>
  <c r="O384" i="92"/>
  <c r="O374" i="92"/>
  <c r="O381" i="92"/>
  <c r="Q174" i="92"/>
  <c r="Q604" i="92"/>
  <c r="Q159" i="92"/>
  <c r="Q640" i="92"/>
  <c r="U629" i="92"/>
  <c r="U584" i="92"/>
  <c r="U577" i="92"/>
  <c r="U659" i="92"/>
  <c r="U644" i="92"/>
  <c r="U595" i="92"/>
  <c r="U598" i="92"/>
  <c r="U639" i="92"/>
  <c r="U579" i="92"/>
  <c r="U387" i="92"/>
  <c r="U407" i="92"/>
  <c r="U594" i="92"/>
  <c r="U402" i="92"/>
  <c r="U385" i="92"/>
  <c r="U519" i="92"/>
  <c r="U503" i="92"/>
  <c r="U487" i="92"/>
  <c r="U518" i="92"/>
  <c r="U502" i="92"/>
  <c r="U486" i="92"/>
  <c r="U513" i="92"/>
  <c r="U497" i="92"/>
  <c r="U481" i="92"/>
  <c r="U508" i="92"/>
  <c r="U488" i="92"/>
  <c r="U113" i="92"/>
  <c r="U268" i="92"/>
  <c r="U129" i="92"/>
  <c r="U270" i="92"/>
  <c r="U135" i="92"/>
  <c r="U126" i="92"/>
  <c r="U250" i="92"/>
  <c r="U252" i="92"/>
  <c r="U117" i="92"/>
  <c r="U120" i="92"/>
  <c r="U102" i="92"/>
  <c r="U104" i="92"/>
  <c r="U92" i="92"/>
  <c r="U269" i="92"/>
  <c r="U132" i="92"/>
  <c r="U258" i="92"/>
  <c r="U241" i="92"/>
  <c r="U247" i="92"/>
  <c r="U256" i="92"/>
  <c r="U229" i="92"/>
  <c r="U107" i="92"/>
  <c r="U119" i="92"/>
  <c r="U116" i="92"/>
  <c r="U622" i="92"/>
  <c r="U621" i="92"/>
  <c r="U404" i="92"/>
  <c r="U415" i="92"/>
  <c r="O86" i="99"/>
  <c r="N86" i="99"/>
  <c r="N69" i="99"/>
  <c r="O69" i="99"/>
  <c r="N18" i="99"/>
  <c r="O18" i="99"/>
  <c r="P19" i="97"/>
  <c r="V278" i="92"/>
  <c r="V289" i="92"/>
  <c r="O347" i="92"/>
  <c r="O340" i="92"/>
  <c r="O283" i="92"/>
  <c r="O360" i="92"/>
  <c r="O366" i="92"/>
  <c r="O281" i="92"/>
  <c r="O293" i="92"/>
  <c r="O660" i="92"/>
  <c r="O640" i="92"/>
  <c r="O659" i="92"/>
  <c r="O639" i="92"/>
  <c r="O666" i="92"/>
  <c r="O662" i="92"/>
  <c r="O649" i="92"/>
  <c r="O638" i="92"/>
  <c r="O629" i="92"/>
  <c r="O605" i="92"/>
  <c r="O585" i="92"/>
  <c r="O608" i="92"/>
  <c r="O588" i="92"/>
  <c r="O599" i="92"/>
  <c r="O590" i="92"/>
  <c r="O595" i="92"/>
  <c r="O308" i="92"/>
  <c r="O328" i="92"/>
  <c r="O337" i="92"/>
  <c r="O343" i="92"/>
  <c r="O325" i="92"/>
  <c r="O302" i="92"/>
  <c r="O656" i="92"/>
  <c r="O632" i="92"/>
  <c r="O655" i="92"/>
  <c r="O635" i="92"/>
  <c r="O650" i="92"/>
  <c r="O646" i="92"/>
  <c r="O641" i="92"/>
  <c r="O653" i="92"/>
  <c r="O621" i="92"/>
  <c r="O601" i="92"/>
  <c r="O577" i="92"/>
  <c r="O604" i="92"/>
  <c r="O584" i="92"/>
  <c r="O583" i="92"/>
  <c r="O582" i="92"/>
  <c r="O587" i="92"/>
  <c r="Q352" i="92"/>
  <c r="Q348" i="92"/>
  <c r="Q344" i="92"/>
  <c r="Q313" i="92"/>
  <c r="Q309" i="92"/>
  <c r="Q370" i="92"/>
  <c r="Q362" i="92"/>
  <c r="Q354" i="92"/>
  <c r="Q337" i="92"/>
  <c r="Q329" i="92"/>
  <c r="Q321" i="92"/>
  <c r="Q294" i="92"/>
  <c r="Q278" i="92"/>
  <c r="Q340" i="92"/>
  <c r="Q303" i="92"/>
  <c r="Q285" i="92"/>
  <c r="Q338" i="92"/>
  <c r="Q317" i="92"/>
  <c r="Q288" i="92"/>
  <c r="Q361" i="92"/>
  <c r="Q320" i="92"/>
  <c r="Q334" i="92"/>
  <c r="Q367" i="92"/>
  <c r="Q359" i="92"/>
  <c r="Q342" i="92"/>
  <c r="Q280" i="92"/>
  <c r="Q349" i="92"/>
  <c r="Q345" i="92"/>
  <c r="Q314" i="92"/>
  <c r="Q310" i="92"/>
  <c r="Q368" i="92"/>
  <c r="Q360" i="92"/>
  <c r="Q343" i="92"/>
  <c r="Q335" i="92"/>
  <c r="Q327" i="92"/>
  <c r="Q306" i="92"/>
  <c r="Q290" i="92"/>
  <c r="Q274" i="92"/>
  <c r="Q332" i="92"/>
  <c r="Q301" i="92"/>
  <c r="Q276" i="92"/>
  <c r="Q330" i="92"/>
  <c r="Q304" i="92"/>
  <c r="Q283" i="92"/>
  <c r="Q353" i="92"/>
  <c r="Q300" i="92"/>
  <c r="Q291" i="92"/>
  <c r="Q326" i="92"/>
  <c r="Q305" i="92"/>
  <c r="Q307" i="92"/>
  <c r="V316" i="92"/>
  <c r="V305" i="92"/>
  <c r="V273" i="92"/>
  <c r="V295" i="92"/>
  <c r="V300" i="92"/>
  <c r="V296" i="92"/>
  <c r="V297" i="92"/>
  <c r="V298" i="92"/>
  <c r="V288" i="92"/>
  <c r="V290" i="92"/>
  <c r="V303" i="92"/>
  <c r="Q642" i="92"/>
  <c r="Q655" i="92"/>
  <c r="Q623" i="92"/>
  <c r="Q636" i="92"/>
  <c r="Q649" i="92"/>
  <c r="Q614" i="92"/>
  <c r="Q582" i="92"/>
  <c r="Q155" i="92"/>
  <c r="Q607" i="92"/>
  <c r="Q180" i="92"/>
  <c r="Q148" i="92"/>
  <c r="Q600" i="92"/>
  <c r="Q173" i="92"/>
  <c r="Q141" i="92"/>
  <c r="Q597" i="92"/>
  <c r="Q170" i="92"/>
  <c r="Q138" i="92"/>
  <c r="Q576" i="92"/>
  <c r="Q662" i="92"/>
  <c r="Q630" i="92"/>
  <c r="Q643" i="92"/>
  <c r="Q656" i="92"/>
  <c r="Q624" i="92"/>
  <c r="Q637" i="92"/>
  <c r="Q602" i="92"/>
  <c r="Q175" i="92"/>
  <c r="Q143" i="92"/>
  <c r="Q595" i="92"/>
  <c r="Q168" i="92"/>
  <c r="Q620" i="92"/>
  <c r="Q588" i="92"/>
  <c r="Q161" i="92"/>
  <c r="Q617" i="92"/>
  <c r="Q585" i="92"/>
  <c r="Q158" i="92"/>
  <c r="C15" i="98"/>
  <c r="E15" i="98"/>
  <c r="F15" i="98"/>
  <c r="I15" i="98"/>
  <c r="T51" i="92"/>
  <c r="T58" i="92"/>
  <c r="T65" i="92"/>
  <c r="T73" i="92"/>
  <c r="T80" i="92"/>
  <c r="T101" i="92"/>
  <c r="T110" i="92"/>
  <c r="T118" i="92"/>
  <c r="T125" i="92"/>
  <c r="T184" i="92"/>
  <c r="T191" i="92"/>
  <c r="T199" i="92"/>
  <c r="T206" i="92"/>
  <c r="T213" i="92"/>
  <c r="T229" i="92"/>
  <c r="T236" i="92"/>
  <c r="T245" i="92"/>
  <c r="T253" i="92"/>
  <c r="T260" i="92"/>
  <c r="T83" i="92"/>
  <c r="T84" i="92"/>
  <c r="T128" i="92"/>
  <c r="T130" i="92"/>
  <c r="T132" i="92"/>
  <c r="T134" i="92"/>
  <c r="T136" i="92"/>
  <c r="T218" i="92"/>
  <c r="T221" i="92"/>
  <c r="T224" i="92"/>
  <c r="T226" i="92"/>
  <c r="T263" i="92"/>
  <c r="T265" i="92"/>
  <c r="T267" i="92"/>
  <c r="T269" i="92"/>
  <c r="T271" i="92"/>
  <c r="T86" i="92"/>
  <c r="T88" i="92"/>
  <c r="T85" i="92"/>
  <c r="T91" i="92"/>
  <c r="N102" i="99"/>
  <c r="O102" i="99"/>
  <c r="P20" i="97"/>
  <c r="N34" i="99"/>
  <c r="O34" i="99"/>
  <c r="T349" i="92"/>
  <c r="T273" i="92"/>
  <c r="T339" i="92"/>
  <c r="T280" i="92"/>
  <c r="T348" i="92"/>
  <c r="T355" i="92"/>
  <c r="T307" i="92"/>
  <c r="T362" i="92"/>
  <c r="T324" i="92"/>
  <c r="T293" i="92"/>
  <c r="T304" i="92"/>
  <c r="T347" i="92"/>
  <c r="T333" i="92"/>
  <c r="T239" i="92"/>
  <c r="T220" i="92"/>
  <c r="T212" i="92"/>
  <c r="T202" i="92"/>
  <c r="T194" i="92"/>
  <c r="T113" i="92"/>
  <c r="T108" i="92"/>
  <c r="T99" i="92"/>
  <c r="T90" i="92"/>
  <c r="T270" i="92"/>
  <c r="T268" i="92"/>
  <c r="T266" i="92"/>
  <c r="T264" i="92"/>
  <c r="T261" i="92"/>
  <c r="T259" i="92"/>
  <c r="T257" i="92"/>
  <c r="T255" i="92"/>
  <c r="T252" i="92"/>
  <c r="T250" i="92"/>
  <c r="T248" i="92"/>
  <c r="T246" i="92"/>
  <c r="T243" i="92"/>
  <c r="T242" i="92"/>
  <c r="T240" i="92"/>
  <c r="T237" i="92"/>
  <c r="T234" i="92"/>
  <c r="T232" i="92"/>
  <c r="T230" i="92"/>
  <c r="T228" i="92"/>
  <c r="T225" i="92"/>
  <c r="T223" i="92"/>
  <c r="T222" i="92"/>
  <c r="T219" i="92"/>
  <c r="T216" i="92"/>
  <c r="T214" i="92"/>
  <c r="T210" i="92"/>
  <c r="T207" i="92"/>
  <c r="T205" i="92"/>
  <c r="T201" i="92"/>
  <c r="T198" i="92"/>
  <c r="T196" i="92"/>
  <c r="T192" i="92"/>
  <c r="T189" i="92"/>
  <c r="T187" i="92"/>
  <c r="T185" i="92"/>
  <c r="T183" i="92"/>
  <c r="T135" i="92"/>
  <c r="T133" i="92"/>
  <c r="T131" i="92"/>
  <c r="T129" i="92"/>
  <c r="T126" i="92"/>
  <c r="T124" i="92"/>
  <c r="T122" i="92"/>
  <c r="T120" i="92"/>
  <c r="T117" i="92"/>
  <c r="T115" i="92"/>
  <c r="T111" i="92"/>
  <c r="T109" i="92"/>
  <c r="T106" i="92"/>
  <c r="T104" i="92"/>
  <c r="T102" i="92"/>
  <c r="T100" i="92"/>
  <c r="T97" i="92"/>
  <c r="T95" i="92"/>
  <c r="T93" i="92"/>
  <c r="T98" i="92"/>
  <c r="T96" i="92"/>
  <c r="T94" i="92"/>
  <c r="T92" i="92"/>
  <c r="T89" i="92"/>
  <c r="T87" i="92"/>
  <c r="T326" i="92"/>
  <c r="T306" i="92"/>
  <c r="T53" i="92"/>
  <c r="T60" i="92"/>
  <c r="T68" i="92"/>
  <c r="T74" i="92"/>
  <c r="T82" i="92"/>
  <c r="T107" i="92"/>
  <c r="T116" i="92"/>
  <c r="T123" i="92"/>
  <c r="T182" i="92"/>
  <c r="T190" i="92"/>
  <c r="T197" i="92"/>
  <c r="T204" i="92"/>
  <c r="T211" i="92"/>
  <c r="T227" i="92"/>
  <c r="T235" i="92"/>
  <c r="T244" i="92"/>
  <c r="T251" i="92"/>
  <c r="T258" i="92"/>
  <c r="T48" i="92"/>
  <c r="T50" i="92"/>
  <c r="T52" i="92"/>
  <c r="T356" i="92"/>
  <c r="O35" i="99"/>
  <c r="N68" i="99"/>
  <c r="O68" i="99"/>
  <c r="O103" i="99"/>
  <c r="N103" i="99"/>
  <c r="U290" i="92"/>
  <c r="U642" i="92"/>
  <c r="U289" i="92"/>
  <c r="U300" i="92"/>
  <c r="U666" i="92"/>
  <c r="U625" i="92"/>
  <c r="U611" i="92"/>
  <c r="U609" i="92"/>
  <c r="U605" i="92"/>
  <c r="U397" i="92"/>
  <c r="U384" i="92"/>
  <c r="U374" i="92"/>
  <c r="O344" i="92"/>
  <c r="O309" i="92"/>
  <c r="O361" i="92"/>
  <c r="O336" i="92"/>
  <c r="O320" i="92"/>
  <c r="O295" i="92"/>
  <c r="O362" i="92"/>
  <c r="O305" i="92"/>
  <c r="O280" i="92"/>
  <c r="O327" i="92"/>
  <c r="O285" i="92"/>
  <c r="O358" i="92"/>
  <c r="O297" i="92"/>
  <c r="O339" i="92"/>
  <c r="O272" i="92"/>
  <c r="O284" i="92"/>
  <c r="O350" i="92"/>
  <c r="O315" i="92"/>
  <c r="O357" i="92"/>
  <c r="O332" i="92"/>
  <c r="O317" i="92"/>
  <c r="O287" i="92"/>
  <c r="O354" i="92"/>
  <c r="O298" i="92"/>
  <c r="O368" i="92"/>
  <c r="O318" i="92"/>
  <c r="O278" i="92"/>
  <c r="O333" i="92"/>
  <c r="O314" i="92"/>
  <c r="O365" i="92"/>
  <c r="O324" i="92"/>
  <c r="O279" i="92"/>
  <c r="O282" i="92"/>
  <c r="O292" i="92"/>
  <c r="O306" i="92"/>
  <c r="O277" i="92"/>
  <c r="O300" i="92"/>
  <c r="O652" i="92"/>
  <c r="O636" i="92"/>
  <c r="O663" i="92"/>
  <c r="O647" i="92"/>
  <c r="O631" i="92"/>
  <c r="O658" i="92"/>
  <c r="O626" i="92"/>
  <c r="O665" i="92"/>
  <c r="O633" i="92"/>
  <c r="O622" i="92"/>
  <c r="O661" i="92"/>
  <c r="O613" i="92"/>
  <c r="O597" i="92"/>
  <c r="O581" i="92"/>
  <c r="O612" i="92"/>
  <c r="O596" i="92"/>
  <c r="O580" i="92"/>
  <c r="O591" i="92"/>
  <c r="O598" i="92"/>
  <c r="O611" i="92"/>
  <c r="O579" i="92"/>
  <c r="O602" i="92"/>
  <c r="O414" i="92"/>
  <c r="O405" i="92"/>
  <c r="O406" i="92"/>
  <c r="O409" i="92"/>
  <c r="O411" i="92"/>
  <c r="O388" i="92"/>
  <c r="O379" i="92"/>
  <c r="O386" i="92"/>
  <c r="O392" i="92"/>
  <c r="O383" i="92"/>
  <c r="O390" i="92"/>
  <c r="I31" i="98"/>
  <c r="N51" i="99"/>
  <c r="O51" i="99"/>
  <c r="O52" i="99"/>
  <c r="N52" i="99"/>
  <c r="Q2" i="92"/>
  <c r="Q654" i="92"/>
  <c r="Q638" i="92"/>
  <c r="Q622" i="92"/>
  <c r="Q651" i="92"/>
  <c r="Q635" i="92"/>
  <c r="Q664" i="92"/>
  <c r="Q648" i="92"/>
  <c r="Q632" i="92"/>
  <c r="Q661" i="92"/>
  <c r="Q645" i="92"/>
  <c r="Q629" i="92"/>
  <c r="Q610" i="92"/>
  <c r="Q594" i="92"/>
  <c r="Q578" i="92"/>
  <c r="Q167" i="92"/>
  <c r="Q151" i="92"/>
  <c r="Q619" i="92"/>
  <c r="Q603" i="92"/>
  <c r="Q587" i="92"/>
  <c r="Q176" i="92"/>
  <c r="Q160" i="92"/>
  <c r="Q144" i="92"/>
  <c r="Q612" i="92"/>
  <c r="Q596" i="92"/>
  <c r="Q580" i="92"/>
  <c r="Q169" i="92"/>
  <c r="Q153" i="92"/>
  <c r="Q137" i="92"/>
  <c r="Q609" i="92"/>
  <c r="Q593" i="92"/>
  <c r="Q577" i="92"/>
  <c r="Q166" i="92"/>
  <c r="Q150" i="92"/>
  <c r="Q573" i="92"/>
  <c r="Q666" i="92"/>
  <c r="Q650" i="92"/>
  <c r="Q634" i="92"/>
  <c r="Q663" i="92"/>
  <c r="Q647" i="92"/>
  <c r="Q631" i="92"/>
  <c r="Q660" i="92"/>
  <c r="Q644" i="92"/>
  <c r="Q628" i="92"/>
  <c r="Q657" i="92"/>
  <c r="Q641" i="92"/>
  <c r="Q625" i="92"/>
  <c r="Q606" i="92"/>
  <c r="Q590" i="92"/>
  <c r="Q179" i="92"/>
  <c r="Q163" i="92"/>
  <c r="Q147" i="92"/>
  <c r="Q615" i="92"/>
  <c r="Q599" i="92"/>
  <c r="Q583" i="92"/>
  <c r="Q172" i="92"/>
  <c r="Q156" i="92"/>
  <c r="Q140" i="92"/>
  <c r="Q608" i="92"/>
  <c r="Q592" i="92"/>
  <c r="Q181" i="92"/>
  <c r="Q165" i="92"/>
  <c r="Q149" i="92"/>
  <c r="Q621" i="92"/>
  <c r="Q605" i="92"/>
  <c r="Q589" i="92"/>
  <c r="Q178" i="92"/>
  <c r="Q162" i="92"/>
  <c r="Q146" i="92"/>
  <c r="Q574" i="92"/>
  <c r="C32" i="98"/>
  <c r="E32" i="98"/>
  <c r="F32" i="98"/>
  <c r="F8" i="98"/>
  <c r="I8" i="98"/>
  <c r="F11" i="98"/>
  <c r="I11" i="98"/>
  <c r="U312" i="92"/>
  <c r="U313" i="92"/>
  <c r="U310" i="92"/>
  <c r="U315" i="92"/>
  <c r="U294" i="92"/>
  <c r="U278" i="92"/>
  <c r="U296" i="92"/>
  <c r="U273" i="92"/>
  <c r="U285" i="92"/>
  <c r="U297" i="92"/>
  <c r="U307" i="92"/>
  <c r="U288" i="92"/>
  <c r="U275" i="92"/>
  <c r="U663" i="92"/>
  <c r="U647" i="92"/>
  <c r="U631" i="92"/>
  <c r="U662" i="92"/>
  <c r="U646" i="92"/>
  <c r="U630" i="92"/>
  <c r="U653" i="92"/>
  <c r="U665" i="92"/>
  <c r="U652" i="92"/>
  <c r="U657" i="92"/>
  <c r="U648" i="92"/>
  <c r="U624" i="92"/>
  <c r="U608" i="92"/>
  <c r="U592" i="92"/>
  <c r="U308" i="92"/>
  <c r="U309" i="92"/>
  <c r="U302" i="92"/>
  <c r="U286" i="92"/>
  <c r="U305" i="92"/>
  <c r="U287" i="92"/>
  <c r="U299" i="92"/>
  <c r="U276" i="92"/>
  <c r="U284" i="92"/>
  <c r="U293" i="92"/>
  <c r="U279" i="92"/>
  <c r="U316" i="92"/>
  <c r="U282" i="92"/>
  <c r="U280" i="92"/>
  <c r="U304" i="92"/>
  <c r="U291" i="92"/>
  <c r="U655" i="92"/>
  <c r="U635" i="92"/>
  <c r="U658" i="92"/>
  <c r="U638" i="92"/>
  <c r="U661" i="92"/>
  <c r="U649" i="92"/>
  <c r="U636" i="92"/>
  <c r="U640" i="92"/>
  <c r="U620" i="92"/>
  <c r="U600" i="92"/>
  <c r="U580" i="92"/>
  <c r="U607" i="92"/>
  <c r="U591" i="92"/>
  <c r="U618" i="92"/>
  <c r="U586" i="92"/>
  <c r="U601" i="92"/>
  <c r="U492" i="92"/>
  <c r="U590" i="92"/>
  <c r="U589" i="92"/>
  <c r="U389" i="92"/>
  <c r="U386" i="92"/>
  <c r="U396" i="92"/>
  <c r="U410" i="92"/>
  <c r="U411" i="92"/>
  <c r="U379" i="92"/>
  <c r="U409" i="92"/>
  <c r="U377" i="92"/>
  <c r="U398" i="92"/>
  <c r="U383" i="92"/>
  <c r="U375" i="92"/>
  <c r="U314" i="92"/>
  <c r="U298" i="92"/>
  <c r="U303" i="92"/>
  <c r="U292" i="92"/>
  <c r="U272" i="92"/>
  <c r="U277" i="92"/>
  <c r="U643" i="92"/>
  <c r="U623" i="92"/>
  <c r="U650" i="92"/>
  <c r="U626" i="92"/>
  <c r="U637" i="92"/>
  <c r="U660" i="92"/>
  <c r="U641" i="92"/>
  <c r="U632" i="92"/>
  <c r="U612" i="92"/>
  <c r="U588" i="92"/>
  <c r="U615" i="92"/>
  <c r="U599" i="92"/>
  <c r="U583" i="92"/>
  <c r="U602" i="92"/>
  <c r="U617" i="92"/>
  <c r="U585" i="92"/>
  <c r="U606" i="92"/>
  <c r="U597" i="92"/>
  <c r="U581" i="92"/>
  <c r="U405" i="92"/>
  <c r="U373" i="92"/>
  <c r="U412" i="92"/>
  <c r="U380" i="92"/>
  <c r="U400" i="92"/>
  <c r="U395" i="92"/>
  <c r="U394" i="92"/>
  <c r="U393" i="92"/>
  <c r="U399" i="92"/>
  <c r="U391" i="92"/>
  <c r="U382" i="92"/>
  <c r="U306" i="92"/>
  <c r="U301" i="92"/>
  <c r="U281" i="92"/>
  <c r="U627" i="92"/>
  <c r="U634" i="92"/>
  <c r="U633" i="92"/>
  <c r="U664" i="92"/>
  <c r="U596" i="92"/>
  <c r="U603" i="92"/>
  <c r="U610" i="92"/>
  <c r="U593" i="92"/>
  <c r="U582" i="92"/>
  <c r="U413" i="92"/>
  <c r="U376" i="92"/>
  <c r="U378" i="92"/>
  <c r="U371" i="92"/>
  <c r="U408" i="92"/>
  <c r="U414" i="92"/>
  <c r="U311" i="92"/>
  <c r="U274" i="92"/>
  <c r="U295" i="92"/>
  <c r="U651" i="92"/>
  <c r="U654" i="92"/>
  <c r="U645" i="92"/>
  <c r="U628" i="92"/>
  <c r="U616" i="92"/>
  <c r="U619" i="92"/>
  <c r="U587" i="92"/>
  <c r="U578" i="92"/>
  <c r="U614" i="92"/>
  <c r="U613" i="92"/>
  <c r="U381" i="92"/>
  <c r="U388" i="92"/>
  <c r="U403" i="92"/>
  <c r="U401" i="92"/>
  <c r="U390" i="92"/>
  <c r="U406" i="92"/>
  <c r="T272" i="92"/>
  <c r="T350" i="92"/>
  <c r="T314" i="92"/>
  <c r="T344" i="92"/>
  <c r="T352" i="92"/>
  <c r="T363" i="92"/>
  <c r="T338" i="92"/>
  <c r="T322" i="92"/>
  <c r="T297" i="92"/>
  <c r="T281" i="92"/>
  <c r="T353" i="92"/>
  <c r="T295" i="92"/>
  <c r="T343" i="92"/>
  <c r="T290" i="92"/>
  <c r="T291" i="92"/>
  <c r="T319" i="92"/>
  <c r="T366" i="92"/>
  <c r="T341" i="92"/>
  <c r="T325" i="92"/>
  <c r="T300" i="92"/>
  <c r="T284" i="92"/>
  <c r="T340" i="92"/>
  <c r="T287" i="92"/>
  <c r="T345" i="92"/>
  <c r="T311" i="92"/>
  <c r="T310" i="92"/>
  <c r="T359" i="92"/>
  <c r="T330" i="92"/>
  <c r="T301" i="92"/>
  <c r="T277" i="92"/>
  <c r="T328" i="92"/>
  <c r="T360" i="92"/>
  <c r="T274" i="92"/>
  <c r="T364" i="92"/>
  <c r="T370" i="92"/>
  <c r="T337" i="92"/>
  <c r="T317" i="92"/>
  <c r="T288" i="92"/>
  <c r="T332" i="92"/>
  <c r="T335" i="92"/>
  <c r="T299" i="92"/>
  <c r="T282" i="92"/>
  <c r="T313" i="92"/>
  <c r="T308" i="92"/>
  <c r="T309" i="92"/>
  <c r="T315" i="92"/>
  <c r="T342" i="92"/>
  <c r="T318" i="92"/>
  <c r="T289" i="92"/>
  <c r="T365" i="92"/>
  <c r="T283" i="92"/>
  <c r="T323" i="92"/>
  <c r="T320" i="92"/>
  <c r="T294" i="92"/>
  <c r="T358" i="92"/>
  <c r="T329" i="92"/>
  <c r="T296" i="92"/>
  <c r="T276" i="92"/>
  <c r="T303" i="92"/>
  <c r="T286" i="92"/>
  <c r="T327" i="92"/>
  <c r="T346" i="92"/>
  <c r="T351" i="92"/>
  <c r="T334" i="92"/>
  <c r="T285" i="92"/>
  <c r="T275" i="92"/>
  <c r="T279" i="92"/>
  <c r="T354" i="92"/>
  <c r="T292" i="92"/>
  <c r="T368" i="92"/>
  <c r="T298" i="92"/>
  <c r="T312" i="92"/>
  <c r="T367" i="92"/>
  <c r="T305" i="92"/>
  <c r="T336" i="92"/>
  <c r="T302" i="92"/>
  <c r="T278" i="92"/>
  <c r="T321" i="92"/>
  <c r="T369" i="92"/>
  <c r="T361" i="92"/>
  <c r="V315" i="92"/>
  <c r="V314" i="92"/>
  <c r="V311" i="92"/>
  <c r="V310" i="92"/>
  <c r="V293" i="92"/>
  <c r="V277" i="92"/>
  <c r="V292" i="92"/>
  <c r="V304" i="92"/>
  <c r="V279" i="92"/>
  <c r="V306" i="92"/>
  <c r="V302" i="92"/>
  <c r="V274" i="92"/>
  <c r="V284" i="92"/>
  <c r="V312" i="92"/>
  <c r="V308" i="92"/>
  <c r="V301" i="92"/>
  <c r="V285" i="92"/>
  <c r="V299" i="92"/>
  <c r="V282" i="92"/>
  <c r="V294" i="92"/>
  <c r="V272" i="92"/>
  <c r="V291" i="92"/>
  <c r="V286" i="92"/>
  <c r="V275" i="92"/>
  <c r="I7" i="98"/>
  <c r="O348" i="92"/>
  <c r="O346" i="92"/>
  <c r="O310" i="92"/>
  <c r="O345" i="92"/>
  <c r="O351" i="92"/>
  <c r="O311" i="92"/>
  <c r="O312" i="92"/>
  <c r="O352" i="92"/>
  <c r="O363" i="92"/>
  <c r="O355" i="92"/>
  <c r="O338" i="92"/>
  <c r="O330" i="92"/>
  <c r="O322" i="92"/>
  <c r="O307" i="92"/>
  <c r="O291" i="92"/>
  <c r="O275" i="92"/>
  <c r="O329" i="92"/>
  <c r="O296" i="92"/>
  <c r="O273" i="92"/>
  <c r="O335" i="92"/>
  <c r="O294" i="92"/>
  <c r="O276" i="92"/>
  <c r="O341" i="92"/>
  <c r="O304" i="92"/>
  <c r="O288" i="92"/>
  <c r="O331" i="92"/>
  <c r="O364" i="92"/>
  <c r="O286" i="92"/>
  <c r="O349" i="92"/>
  <c r="O316" i="92"/>
  <c r="O313" i="92"/>
  <c r="O367" i="92"/>
  <c r="O359" i="92"/>
  <c r="O342" i="92"/>
  <c r="O334" i="92"/>
  <c r="O326" i="92"/>
  <c r="O319" i="92"/>
  <c r="J68" i="112"/>
  <c r="J67" i="112"/>
  <c r="J46" i="72"/>
  <c r="K52" i="112"/>
  <c r="K46" i="72"/>
  <c r="K43" i="72"/>
  <c r="H43" i="72"/>
  <c r="J75" i="99"/>
  <c r="K75" i="99"/>
  <c r="M75" i="99"/>
  <c r="N75" i="99"/>
  <c r="F22" i="99"/>
  <c r="E75" i="99"/>
  <c r="F75" i="99"/>
  <c r="K13" i="95"/>
  <c r="J33" i="95"/>
  <c r="K52" i="101"/>
  <c r="K51" i="101"/>
  <c r="G9" i="95"/>
  <c r="S20" i="104"/>
  <c r="K68" i="96"/>
  <c r="J68" i="96"/>
  <c r="J51" i="112"/>
  <c r="K33" i="95"/>
  <c r="L15" i="101"/>
  <c r="K14" i="72"/>
  <c r="J18" i="72"/>
  <c r="J100" i="99"/>
  <c r="K100" i="99"/>
  <c r="M100" i="99"/>
  <c r="N100" i="99"/>
  <c r="J99" i="99"/>
  <c r="K99" i="99"/>
  <c r="M99" i="99"/>
  <c r="O99" i="99"/>
  <c r="G90" i="99"/>
  <c r="J49" i="99"/>
  <c r="K49" i="99"/>
  <c r="M49" i="99"/>
  <c r="O49" i="99"/>
  <c r="J48" i="99"/>
  <c r="I22" i="72"/>
  <c r="I10" i="72"/>
  <c r="G10" i="72"/>
  <c r="S19" i="104"/>
  <c r="O30" i="97"/>
  <c r="P30" i="97"/>
  <c r="E92" i="99"/>
  <c r="P28" i="97"/>
  <c r="O28" i="97"/>
  <c r="F92" i="99"/>
  <c r="J92" i="99"/>
  <c r="K92" i="99"/>
  <c r="M92" i="99"/>
  <c r="N92" i="99"/>
  <c r="G12" i="99"/>
  <c r="C12" i="99"/>
  <c r="J14" i="99"/>
  <c r="N14" i="97"/>
  <c r="L12" i="97"/>
  <c r="R71" i="111"/>
  <c r="R71" i="115"/>
  <c r="R94" i="111"/>
  <c r="K65" i="112"/>
  <c r="K37" i="112"/>
  <c r="J66" i="96"/>
  <c r="N94" i="99"/>
  <c r="K93" i="96"/>
  <c r="J38" i="96"/>
  <c r="K38" i="96"/>
  <c r="J100" i="96"/>
  <c r="J66" i="112"/>
  <c r="O12" i="71"/>
  <c r="C71" i="71"/>
  <c r="J16" i="96"/>
  <c r="J95" i="99"/>
  <c r="K95" i="99"/>
  <c r="M95" i="99"/>
  <c r="I93" i="99"/>
  <c r="J61" i="96"/>
  <c r="G81" i="112"/>
  <c r="H81" i="112"/>
  <c r="J26" i="96"/>
  <c r="K30" i="96"/>
  <c r="J77" i="96"/>
  <c r="J74" i="96"/>
  <c r="K57" i="96"/>
  <c r="K91" i="96"/>
  <c r="I84" i="96"/>
  <c r="G56" i="112"/>
  <c r="H56" i="112"/>
  <c r="J82" i="96"/>
  <c r="J62" i="96"/>
  <c r="K54" i="112"/>
  <c r="J18" i="96"/>
  <c r="O111" i="99"/>
  <c r="AD386" i="92"/>
  <c r="AD284" i="92"/>
  <c r="L332" i="92"/>
  <c r="H408" i="92"/>
  <c r="AD343" i="92"/>
  <c r="H411" i="92"/>
  <c r="AD381" i="92"/>
  <c r="H575" i="92"/>
  <c r="H398" i="92"/>
  <c r="K90" i="99"/>
  <c r="M90" i="99"/>
  <c r="O90" i="99"/>
  <c r="N26" i="99"/>
  <c r="K93" i="99"/>
  <c r="M93" i="99"/>
  <c r="O93" i="99"/>
  <c r="K17" i="112"/>
  <c r="R24" i="111"/>
  <c r="R25" i="111"/>
  <c r="R3" i="111"/>
  <c r="V5" i="111"/>
  <c r="R47" i="115"/>
  <c r="R48" i="115"/>
  <c r="F90" i="99"/>
  <c r="K45" i="72"/>
  <c r="G80" i="99"/>
  <c r="C80" i="99"/>
  <c r="J82" i="99"/>
  <c r="K15" i="96"/>
  <c r="R47" i="111"/>
  <c r="R48" i="111"/>
  <c r="R24" i="115"/>
  <c r="R25" i="115"/>
  <c r="J19" i="96"/>
  <c r="F24" i="99"/>
  <c r="J24" i="99"/>
  <c r="K24" i="99"/>
  <c r="M24" i="99"/>
  <c r="O24" i="99"/>
  <c r="K21" i="101"/>
  <c r="J65" i="96"/>
  <c r="I70" i="112"/>
  <c r="G70" i="112"/>
  <c r="H70" i="112"/>
  <c r="J22" i="96"/>
  <c r="J27" i="96"/>
  <c r="K88" i="96"/>
  <c r="J71" i="112"/>
  <c r="J76" i="96"/>
  <c r="J86" i="96"/>
  <c r="K72" i="96"/>
  <c r="K59" i="96"/>
  <c r="J92" i="96"/>
  <c r="K63" i="96"/>
  <c r="K23" i="96"/>
  <c r="K39" i="96"/>
  <c r="G33" i="112"/>
  <c r="H33" i="112"/>
  <c r="K28" i="96"/>
  <c r="J67" i="96"/>
  <c r="K31" i="96"/>
  <c r="K32" i="96"/>
  <c r="K78" i="96"/>
  <c r="J78" i="96"/>
  <c r="K20" i="96"/>
  <c r="J20" i="96"/>
  <c r="K64" i="96"/>
  <c r="J64" i="96"/>
  <c r="K81" i="96"/>
  <c r="K90" i="96"/>
  <c r="J75" i="96"/>
  <c r="K75" i="96"/>
  <c r="J75" i="112"/>
  <c r="K75" i="112"/>
  <c r="K70" i="112"/>
  <c r="J73" i="96"/>
  <c r="K73" i="96"/>
  <c r="K21" i="96"/>
  <c r="J21" i="96"/>
  <c r="J42" i="112"/>
  <c r="K42" i="112"/>
  <c r="K24" i="112"/>
  <c r="J24" i="112"/>
  <c r="G13" i="96"/>
  <c r="I14" i="96"/>
  <c r="J60" i="96"/>
  <c r="K60" i="96"/>
  <c r="J101" i="96"/>
  <c r="K101" i="96"/>
  <c r="I13" i="112"/>
  <c r="J14" i="112"/>
  <c r="K14" i="112"/>
  <c r="I33" i="112"/>
  <c r="K58" i="96"/>
  <c r="J58" i="96"/>
  <c r="K71" i="96"/>
  <c r="J71" i="96"/>
  <c r="I70" i="96"/>
  <c r="K46" i="112"/>
  <c r="J46" i="112"/>
  <c r="J87" i="112"/>
  <c r="K87" i="112"/>
  <c r="K81" i="112"/>
  <c r="G13" i="112"/>
  <c r="H13" i="112"/>
  <c r="G84" i="96"/>
  <c r="J24" i="95"/>
  <c r="J23" i="95"/>
  <c r="I23" i="95"/>
  <c r="K24" i="95"/>
  <c r="K23" i="95"/>
  <c r="J14" i="95"/>
  <c r="K14" i="95"/>
  <c r="I12" i="95"/>
  <c r="J45" i="95"/>
  <c r="J44" i="95"/>
  <c r="I44" i="95"/>
  <c r="K45" i="95"/>
  <c r="K44" i="95"/>
  <c r="H44" i="95"/>
  <c r="G34" i="96"/>
  <c r="J29" i="96"/>
  <c r="K29" i="96"/>
  <c r="I95" i="96"/>
  <c r="G95" i="96"/>
  <c r="K89" i="96"/>
  <c r="J89" i="96"/>
  <c r="K87" i="96"/>
  <c r="J87" i="96"/>
  <c r="K57" i="112"/>
  <c r="J57" i="112"/>
  <c r="I56" i="112"/>
  <c r="J24" i="96"/>
  <c r="K24" i="96"/>
  <c r="K28" i="112"/>
  <c r="J28" i="112"/>
  <c r="G70" i="96"/>
  <c r="F109" i="99"/>
  <c r="J109" i="99"/>
  <c r="K109" i="99"/>
  <c r="M109" i="99"/>
  <c r="O109" i="99"/>
  <c r="O78" i="99"/>
  <c r="E109" i="99"/>
  <c r="K73" i="99"/>
  <c r="M73" i="99"/>
  <c r="N73" i="99"/>
  <c r="G63" i="99"/>
  <c r="C63" i="99"/>
  <c r="J65" i="99"/>
  <c r="E73" i="99"/>
  <c r="I76" i="99"/>
  <c r="F73" i="99"/>
  <c r="N77" i="99"/>
  <c r="K76" i="99"/>
  <c r="M76" i="99"/>
  <c r="E58" i="99"/>
  <c r="J58" i="99"/>
  <c r="K58" i="99"/>
  <c r="M58" i="99"/>
  <c r="N58" i="99"/>
  <c r="H33" i="95"/>
  <c r="I81" i="112"/>
  <c r="K97" i="96"/>
  <c r="J97" i="96"/>
  <c r="J83" i="112"/>
  <c r="C93" i="112"/>
  <c r="M182" i="99"/>
  <c r="I53" i="95"/>
  <c r="K54" i="95"/>
  <c r="K53" i="95"/>
  <c r="J54" i="95"/>
  <c r="J53" i="95"/>
  <c r="J45" i="72"/>
  <c r="P35" i="97"/>
  <c r="O35" i="97"/>
  <c r="K58" i="71"/>
  <c r="K56" i="71"/>
  <c r="I56" i="71"/>
  <c r="J58" i="71"/>
  <c r="J56" i="71"/>
  <c r="D24" i="99"/>
  <c r="O59" i="99"/>
  <c r="AD346" i="92"/>
  <c r="AD300" i="92"/>
  <c r="AD347" i="92"/>
  <c r="AD260" i="92"/>
  <c r="J539" i="92"/>
  <c r="E539" i="92"/>
  <c r="AD314" i="92"/>
  <c r="I411" i="92"/>
  <c r="H391" i="92"/>
  <c r="H392" i="92"/>
  <c r="O61" i="99"/>
  <c r="AD344" i="92"/>
  <c r="AD311" i="92"/>
  <c r="K504" i="92"/>
  <c r="AD214" i="92"/>
  <c r="AD350" i="92"/>
  <c r="AD355" i="92"/>
  <c r="J547" i="92"/>
  <c r="E547" i="92"/>
  <c r="J544" i="92"/>
  <c r="E544" i="92"/>
  <c r="H390" i="92"/>
  <c r="K484" i="92"/>
  <c r="AD82" i="92"/>
  <c r="AD352" i="92"/>
  <c r="AD313" i="92"/>
  <c r="I375" i="92"/>
  <c r="J543" i="92"/>
  <c r="E543" i="92"/>
  <c r="H393" i="92"/>
  <c r="AD126" i="92"/>
  <c r="AD339" i="92"/>
  <c r="K485" i="92"/>
  <c r="I388" i="92"/>
  <c r="AD297" i="92"/>
  <c r="K456" i="92"/>
  <c r="E456" i="92"/>
  <c r="K505" i="92"/>
  <c r="AD336" i="92"/>
  <c r="I384" i="92"/>
  <c r="AB570" i="92"/>
  <c r="AD293" i="92"/>
  <c r="K440" i="92"/>
  <c r="E440" i="92"/>
  <c r="I385" i="92"/>
  <c r="K454" i="92"/>
  <c r="E454" i="92"/>
  <c r="K499" i="92"/>
  <c r="I373" i="92"/>
  <c r="AD367" i="92"/>
  <c r="H386" i="92"/>
  <c r="AD117" i="92"/>
  <c r="AD73" i="92"/>
  <c r="I412" i="92"/>
  <c r="AD337" i="92"/>
  <c r="AD304" i="92"/>
  <c r="I409" i="92"/>
  <c r="I394" i="92"/>
  <c r="K500" i="92"/>
  <c r="K502" i="92"/>
  <c r="J545" i="92"/>
  <c r="E545" i="92"/>
  <c r="AD601" i="92"/>
  <c r="K503" i="92"/>
  <c r="H377" i="92"/>
  <c r="H582" i="92"/>
  <c r="H383" i="92"/>
  <c r="AD130" i="92"/>
  <c r="AD596" i="92"/>
  <c r="AD157" i="92"/>
  <c r="L72" i="92"/>
  <c r="H337" i="92"/>
  <c r="K450" i="92"/>
  <c r="E450" i="92"/>
  <c r="N44" i="99"/>
  <c r="AD382" i="92"/>
  <c r="H199" i="92"/>
  <c r="H399" i="92"/>
  <c r="H308" i="92"/>
  <c r="AD20" i="92"/>
  <c r="AD598" i="92"/>
  <c r="AD22" i="92"/>
  <c r="AD220" i="92"/>
  <c r="H591" i="92"/>
  <c r="H376" i="92"/>
  <c r="K489" i="92"/>
  <c r="AD225" i="92"/>
  <c r="K451" i="92"/>
  <c r="E451" i="92"/>
  <c r="K510" i="92"/>
  <c r="AD385" i="92"/>
  <c r="AD163" i="92"/>
  <c r="AD160" i="92"/>
  <c r="H295" i="92"/>
  <c r="H607" i="92"/>
  <c r="AD222" i="92"/>
  <c r="H413" i="92"/>
  <c r="AD363" i="92"/>
  <c r="W69" i="92"/>
  <c r="H348" i="92"/>
  <c r="K488" i="92"/>
  <c r="AD25" i="92"/>
  <c r="AD159" i="92"/>
  <c r="AD155" i="92"/>
  <c r="AD26" i="92"/>
  <c r="AD156" i="92"/>
  <c r="AD27" i="92"/>
  <c r="AD645" i="92"/>
  <c r="L344" i="92"/>
  <c r="K492" i="92"/>
  <c r="H165" i="92"/>
  <c r="H610" i="92"/>
  <c r="K476" i="92"/>
  <c r="E476" i="92"/>
  <c r="H372" i="92"/>
  <c r="H378" i="92"/>
  <c r="H402" i="92"/>
  <c r="H305" i="92"/>
  <c r="H288" i="92"/>
  <c r="AD63" i="92"/>
  <c r="AD365" i="92"/>
  <c r="AD388" i="92"/>
  <c r="AD646" i="92"/>
  <c r="AD162" i="92"/>
  <c r="AD384" i="92"/>
  <c r="AD648" i="92"/>
  <c r="H593" i="92"/>
  <c r="H248" i="92"/>
  <c r="H361" i="92"/>
  <c r="H588" i="92"/>
  <c r="H400" i="92"/>
  <c r="H407" i="92"/>
  <c r="W26" i="92"/>
  <c r="W646" i="92"/>
  <c r="L109" i="92"/>
  <c r="AD291" i="92"/>
  <c r="K435" i="92"/>
  <c r="E435" i="92"/>
  <c r="K480" i="92"/>
  <c r="I392" i="92"/>
  <c r="I414" i="92"/>
  <c r="AD341" i="92"/>
  <c r="W602" i="92"/>
  <c r="K458" i="92"/>
  <c r="E458" i="92"/>
  <c r="K460" i="92"/>
  <c r="E460" i="92"/>
  <c r="K453" i="92"/>
  <c r="E453" i="92"/>
  <c r="K497" i="92"/>
  <c r="W647" i="92"/>
  <c r="K459" i="92"/>
  <c r="E459" i="92"/>
  <c r="K498" i="92"/>
  <c r="K481" i="92"/>
  <c r="L302" i="92"/>
  <c r="H384" i="92"/>
  <c r="AD247" i="92"/>
  <c r="I413" i="92"/>
  <c r="L107" i="92"/>
  <c r="AD70" i="92"/>
  <c r="I391" i="92"/>
  <c r="AD205" i="92"/>
  <c r="W342" i="92"/>
  <c r="W115" i="92"/>
  <c r="AD338" i="92"/>
  <c r="K482" i="92"/>
  <c r="I398" i="92"/>
  <c r="I371" i="92"/>
  <c r="I415" i="92"/>
  <c r="AD335" i="92"/>
  <c r="K452" i="92"/>
  <c r="E452" i="92"/>
  <c r="K455" i="92"/>
  <c r="E455" i="92"/>
  <c r="I378" i="92"/>
  <c r="K501" i="92"/>
  <c r="AD68" i="92"/>
  <c r="AD246" i="92"/>
  <c r="I34" i="98"/>
  <c r="AD390" i="92"/>
  <c r="J568" i="92"/>
  <c r="E568" i="92"/>
  <c r="J561" i="92"/>
  <c r="E561" i="92"/>
  <c r="J567" i="92"/>
  <c r="E567" i="92"/>
  <c r="J563" i="92"/>
  <c r="E563" i="92"/>
  <c r="J560" i="92"/>
  <c r="E560" i="92"/>
  <c r="J565" i="92"/>
  <c r="E565" i="92"/>
  <c r="J562" i="92"/>
  <c r="E562" i="92"/>
  <c r="J566" i="92"/>
  <c r="E566" i="92"/>
  <c r="F42" i="98"/>
  <c r="I42" i="98"/>
  <c r="J558" i="92"/>
  <c r="E558" i="92"/>
  <c r="J557" i="92"/>
  <c r="E557" i="92"/>
  <c r="J551" i="92"/>
  <c r="E551" i="92"/>
  <c r="J555" i="92"/>
  <c r="E555" i="92"/>
  <c r="J554" i="92"/>
  <c r="E554" i="92"/>
  <c r="W290" i="92"/>
  <c r="W341" i="92"/>
  <c r="W382" i="92"/>
  <c r="W381" i="92"/>
  <c r="W643" i="92"/>
  <c r="J556" i="92"/>
  <c r="E556" i="92"/>
  <c r="W163" i="92"/>
  <c r="W343" i="92"/>
  <c r="L252" i="92"/>
  <c r="L308" i="92"/>
  <c r="W251" i="92"/>
  <c r="W25" i="92"/>
  <c r="L272" i="92"/>
  <c r="L282" i="92"/>
  <c r="L135" i="92"/>
  <c r="L248" i="92"/>
  <c r="W162" i="92"/>
  <c r="W28" i="92"/>
  <c r="L256" i="92"/>
  <c r="L92" i="92"/>
  <c r="W337" i="92"/>
  <c r="W155" i="92"/>
  <c r="W388" i="92"/>
  <c r="W293" i="92"/>
  <c r="J559" i="92"/>
  <c r="E559" i="92"/>
  <c r="W384" i="92"/>
  <c r="L276" i="92"/>
  <c r="L283" i="92"/>
  <c r="L263" i="92"/>
  <c r="W383" i="92"/>
  <c r="L130" i="92"/>
  <c r="L265" i="92"/>
  <c r="L105" i="92"/>
  <c r="L101" i="92"/>
  <c r="L243" i="92"/>
  <c r="L264" i="92"/>
  <c r="L258" i="92"/>
  <c r="L269" i="92"/>
  <c r="L278" i="92"/>
  <c r="L253" i="92"/>
  <c r="L230" i="92"/>
  <c r="L235" i="92"/>
  <c r="L111" i="92"/>
  <c r="L99" i="92"/>
  <c r="L236" i="92"/>
  <c r="L262" i="92"/>
  <c r="L100" i="92"/>
  <c r="L266" i="92"/>
  <c r="L127" i="92"/>
  <c r="L249" i="92"/>
  <c r="L271" i="92"/>
  <c r="L232" i="92"/>
  <c r="L234" i="92"/>
  <c r="L297" i="92"/>
  <c r="L279" i="92"/>
  <c r="L273" i="92"/>
  <c r="L285" i="92"/>
  <c r="L280" i="92"/>
  <c r="L316" i="92"/>
  <c r="L286" i="92"/>
  <c r="L108" i="92"/>
  <c r="L228" i="92"/>
  <c r="L97" i="92"/>
  <c r="L313" i="92"/>
  <c r="L307" i="92"/>
  <c r="L125" i="92"/>
  <c r="L117" i="92"/>
  <c r="L311" i="92"/>
  <c r="L96" i="92"/>
  <c r="L112" i="92"/>
  <c r="L95" i="92"/>
  <c r="L227" i="92"/>
  <c r="L267" i="92"/>
  <c r="L240" i="92"/>
  <c r="L118" i="92"/>
  <c r="L231" i="92"/>
  <c r="L102" i="92"/>
  <c r="L255" i="92"/>
  <c r="L312" i="92"/>
  <c r="L314" i="92"/>
  <c r="L301" i="92"/>
  <c r="L292" i="92"/>
  <c r="L300" i="92"/>
  <c r="L239" i="92"/>
  <c r="L131" i="92"/>
  <c r="L93" i="92"/>
  <c r="L295" i="92"/>
  <c r="L310" i="92"/>
  <c r="L120" i="92"/>
  <c r="L270" i="92"/>
  <c r="L268" i="92"/>
  <c r="L123" i="92"/>
  <c r="L104" i="92"/>
  <c r="L241" i="92"/>
  <c r="L259" i="92"/>
  <c r="L116" i="92"/>
  <c r="L245" i="92"/>
  <c r="L94" i="92"/>
  <c r="L250" i="92"/>
  <c r="L290" i="92"/>
  <c r="L110" i="92"/>
  <c r="L251" i="92"/>
  <c r="L106" i="92"/>
  <c r="L237" i="92"/>
  <c r="L293" i="92"/>
  <c r="L291" i="92"/>
  <c r="L306" i="92"/>
  <c r="L304" i="92"/>
  <c r="L274" i="92"/>
  <c r="L126" i="92"/>
  <c r="L257" i="92"/>
  <c r="L98" i="92"/>
  <c r="L275" i="92"/>
  <c r="L315" i="92"/>
  <c r="L229" i="92"/>
  <c r="L114" i="92"/>
  <c r="L277" i="92"/>
  <c r="L247" i="92"/>
  <c r="L242" i="92"/>
  <c r="L303" i="92"/>
  <c r="L132" i="92"/>
  <c r="L133" i="92"/>
  <c r="L119" i="92"/>
  <c r="L233" i="92"/>
  <c r="L122" i="92"/>
  <c r="L113" i="92"/>
  <c r="L260" i="92"/>
  <c r="L134" i="92"/>
  <c r="L124" i="92"/>
  <c r="L298" i="92"/>
  <c r="L288" i="92"/>
  <c r="L284" i="92"/>
  <c r="L294" i="92"/>
  <c r="L299" i="92"/>
  <c r="L246" i="92"/>
  <c r="L115" i="92"/>
  <c r="L305" i="92"/>
  <c r="L287" i="92"/>
  <c r="K463" i="92"/>
  <c r="E463" i="92"/>
  <c r="K467" i="92"/>
  <c r="E467" i="92"/>
  <c r="K469" i="92"/>
  <c r="E469" i="92"/>
  <c r="K461" i="92"/>
  <c r="E461" i="92"/>
  <c r="F43" i="98"/>
  <c r="I43" i="98"/>
  <c r="W20" i="92"/>
  <c r="W208" i="92"/>
  <c r="W160" i="92"/>
  <c r="W245" i="92"/>
  <c r="W112" i="92"/>
  <c r="W157" i="92"/>
  <c r="W72" i="92"/>
  <c r="W201" i="92"/>
  <c r="W250" i="92"/>
  <c r="W603" i="92"/>
  <c r="W247" i="92"/>
  <c r="W205" i="92"/>
  <c r="W596" i="92"/>
  <c r="W253" i="92"/>
  <c r="W21" i="92"/>
  <c r="W207" i="92"/>
  <c r="W158" i="92"/>
  <c r="W202" i="92"/>
  <c r="W645" i="92"/>
  <c r="W204" i="92"/>
  <c r="W597" i="92"/>
  <c r="W65" i="92"/>
  <c r="W110" i="92"/>
  <c r="W66" i="92"/>
  <c r="W380" i="92"/>
  <c r="W206" i="92"/>
  <c r="W385" i="92"/>
  <c r="W161" i="92"/>
  <c r="W291" i="92"/>
  <c r="W640" i="92"/>
  <c r="W156" i="92"/>
  <c r="W336" i="92"/>
  <c r="W598" i="92"/>
  <c r="W387" i="92"/>
  <c r="W296" i="92"/>
  <c r="W338" i="92"/>
  <c r="W117" i="92"/>
  <c r="W73" i="92"/>
  <c r="W70" i="92"/>
  <c r="W386" i="92"/>
  <c r="W116" i="92"/>
  <c r="W292" i="92"/>
  <c r="W23" i="92"/>
  <c r="W118" i="92"/>
  <c r="W111" i="92"/>
  <c r="W642" i="92"/>
  <c r="W27" i="92"/>
  <c r="W248" i="92"/>
  <c r="W644" i="92"/>
  <c r="W335" i="92"/>
  <c r="W599" i="92"/>
  <c r="W159" i="92"/>
  <c r="W641" i="92"/>
  <c r="W600" i="92"/>
  <c r="W297" i="92"/>
  <c r="W295" i="92"/>
  <c r="W252" i="92"/>
  <c r="W246" i="92"/>
  <c r="W200" i="92"/>
  <c r="W24" i="92"/>
  <c r="W648" i="92"/>
  <c r="W68" i="92"/>
  <c r="W203" i="92"/>
  <c r="W113" i="92"/>
  <c r="W339" i="92"/>
  <c r="W71" i="92"/>
  <c r="W114" i="92"/>
  <c r="W67" i="92"/>
  <c r="W294" i="92"/>
  <c r="L309" i="92"/>
  <c r="W298" i="92"/>
  <c r="W595" i="92"/>
  <c r="W601" i="92"/>
  <c r="W340" i="92"/>
  <c r="K513" i="92"/>
  <c r="J552" i="92"/>
  <c r="E552" i="92"/>
  <c r="L281" i="92"/>
  <c r="L289" i="92"/>
  <c r="L254" i="92"/>
  <c r="L121" i="92"/>
  <c r="L103" i="92"/>
  <c r="L244" i="92"/>
  <c r="W249" i="92"/>
  <c r="J532" i="92"/>
  <c r="E532" i="92"/>
  <c r="J526" i="92"/>
  <c r="E526" i="92"/>
  <c r="J524" i="92"/>
  <c r="E524" i="92"/>
  <c r="AD134" i="92"/>
  <c r="AD88" i="92"/>
  <c r="K445" i="92"/>
  <c r="E445" i="92"/>
  <c r="K494" i="92"/>
  <c r="AD21" i="92"/>
  <c r="AD640" i="92"/>
  <c r="AD600" i="92"/>
  <c r="AD387" i="92"/>
  <c r="AD642" i="92"/>
  <c r="AD158" i="92"/>
  <c r="AD383" i="92"/>
  <c r="AD599" i="92"/>
  <c r="AD641" i="92"/>
  <c r="AD603" i="92"/>
  <c r="AD28" i="92"/>
  <c r="AD602" i="92"/>
  <c r="H409" i="92"/>
  <c r="H410" i="92"/>
  <c r="H374" i="92"/>
  <c r="H415" i="92"/>
  <c r="H404" i="92"/>
  <c r="H403" i="92"/>
  <c r="H406" i="92"/>
  <c r="H401" i="92"/>
  <c r="H231" i="92"/>
  <c r="H287" i="92"/>
  <c r="H214" i="92"/>
  <c r="H164" i="92"/>
  <c r="H206" i="92"/>
  <c r="AD229" i="92"/>
  <c r="AD231" i="92"/>
  <c r="L57" i="92"/>
  <c r="L369" i="92"/>
  <c r="L355" i="92"/>
  <c r="L358" i="92"/>
  <c r="AB572" i="92"/>
  <c r="K443" i="92"/>
  <c r="E443" i="92"/>
  <c r="L343" i="92"/>
  <c r="AD597" i="92"/>
  <c r="AD647" i="92"/>
  <c r="AD380" i="92"/>
  <c r="AD644" i="92"/>
  <c r="AD23" i="92"/>
  <c r="AD643" i="92"/>
  <c r="AD24" i="92"/>
  <c r="AD161" i="92"/>
  <c r="L90" i="92"/>
  <c r="H373" i="92"/>
  <c r="AD224" i="92"/>
  <c r="H339" i="92"/>
  <c r="H281" i="92"/>
  <c r="AD91" i="92"/>
  <c r="AD362" i="92"/>
  <c r="H371" i="92"/>
  <c r="H414" i="92"/>
  <c r="H412" i="92"/>
  <c r="H379" i="92"/>
  <c r="AD278" i="92"/>
  <c r="H405" i="92"/>
  <c r="L363" i="92"/>
  <c r="L364" i="92"/>
  <c r="L78" i="92"/>
  <c r="L194" i="92"/>
  <c r="H203" i="92"/>
  <c r="AD237" i="92"/>
  <c r="AD238" i="92"/>
  <c r="AD53" i="92"/>
  <c r="AD98" i="92"/>
  <c r="AD228" i="92"/>
  <c r="AD60" i="92"/>
  <c r="AD234" i="92"/>
  <c r="AD187" i="92"/>
  <c r="AD241" i="92"/>
  <c r="AD51" i="92"/>
  <c r="AD106" i="92"/>
  <c r="AD190" i="92"/>
  <c r="AD54" i="92"/>
  <c r="AD64" i="92"/>
  <c r="AD50" i="92"/>
  <c r="AD96" i="92"/>
  <c r="AD325" i="92"/>
  <c r="AD93" i="92"/>
  <c r="AD320" i="92"/>
  <c r="AD101" i="92"/>
  <c r="AD333" i="92"/>
  <c r="AD285" i="92"/>
  <c r="AD280" i="92"/>
  <c r="AD329" i="92"/>
  <c r="AD331" i="92"/>
  <c r="AD274" i="92"/>
  <c r="AD282" i="92"/>
  <c r="AD199" i="92"/>
  <c r="AD281" i="92"/>
  <c r="AD276" i="92"/>
  <c r="AD288" i="92"/>
  <c r="AD318" i="92"/>
  <c r="AD323" i="92"/>
  <c r="AD103" i="92"/>
  <c r="AD62" i="92"/>
  <c r="AD239" i="92"/>
  <c r="AD196" i="92"/>
  <c r="AD104" i="92"/>
  <c r="AD286" i="92"/>
  <c r="AD275" i="92"/>
  <c r="L219" i="92"/>
  <c r="L87" i="92"/>
  <c r="L214" i="92"/>
  <c r="L55" i="92"/>
  <c r="L203" i="92"/>
  <c r="L59" i="92"/>
  <c r="L53" i="92"/>
  <c r="L190" i="92"/>
  <c r="L221" i="92"/>
  <c r="L71" i="92"/>
  <c r="L195" i="92"/>
  <c r="L226" i="92"/>
  <c r="L70" i="92"/>
  <c r="L222" i="92"/>
  <c r="L66" i="92"/>
  <c r="L224" i="92"/>
  <c r="L49" i="92"/>
  <c r="L200" i="92"/>
  <c r="L89" i="92"/>
  <c r="L201" i="92"/>
  <c r="L318" i="92"/>
  <c r="L209" i="92"/>
  <c r="L64" i="92"/>
  <c r="L225" i="92"/>
  <c r="L217" i="92"/>
  <c r="L80" i="92"/>
  <c r="L81" i="92"/>
  <c r="L60" i="92"/>
  <c r="L69" i="92"/>
  <c r="L186" i="92"/>
  <c r="L52" i="92"/>
  <c r="L220" i="92"/>
  <c r="L51" i="92"/>
  <c r="L199" i="92"/>
  <c r="L207" i="92"/>
  <c r="L67" i="92"/>
  <c r="L65" i="92"/>
  <c r="L213" i="92"/>
  <c r="L77" i="92"/>
  <c r="L189" i="92"/>
  <c r="L329" i="92"/>
  <c r="L370" i="92"/>
  <c r="L182" i="92"/>
  <c r="L193" i="92"/>
  <c r="L84" i="92"/>
  <c r="L185" i="92"/>
  <c r="L215" i="92"/>
  <c r="L183" i="92"/>
  <c r="L205" i="92"/>
  <c r="L58" i="92"/>
  <c r="L197" i="92"/>
  <c r="L75" i="92"/>
  <c r="L341" i="92"/>
  <c r="L328" i="92"/>
  <c r="L345" i="92"/>
  <c r="L326" i="92"/>
  <c r="L325" i="92"/>
  <c r="L361" i="92"/>
  <c r="L339" i="92"/>
  <c r="L198" i="92"/>
  <c r="L79" i="92"/>
  <c r="L91" i="92"/>
  <c r="L334" i="92"/>
  <c r="L321" i="92"/>
  <c r="L62" i="92"/>
  <c r="L208" i="92"/>
  <c r="L76" i="92"/>
  <c r="L206" i="92"/>
  <c r="L85" i="92"/>
  <c r="L56" i="92"/>
  <c r="L184" i="92"/>
  <c r="L88" i="92"/>
  <c r="L192" i="92"/>
  <c r="L47" i="92"/>
  <c r="L191" i="92"/>
  <c r="L342" i="92"/>
  <c r="L367" i="92"/>
  <c r="L366" i="92"/>
  <c r="L317" i="92"/>
  <c r="L338" i="92"/>
  <c r="L323" i="92"/>
  <c r="L196" i="92"/>
  <c r="L61" i="92"/>
  <c r="L50" i="92"/>
  <c r="L320" i="92"/>
  <c r="H312" i="92"/>
  <c r="L365" i="92"/>
  <c r="L359" i="92"/>
  <c r="L362" i="92"/>
  <c r="L337" i="92"/>
  <c r="L351" i="92"/>
  <c r="H336" i="92"/>
  <c r="H144" i="92"/>
  <c r="H196" i="92"/>
  <c r="H204" i="92"/>
  <c r="H152" i="92"/>
  <c r="H601" i="92"/>
  <c r="H592" i="92"/>
  <c r="H277" i="92"/>
  <c r="H306" i="92"/>
  <c r="H183" i="92"/>
  <c r="H168" i="92"/>
  <c r="H589" i="92"/>
  <c r="H181" i="92"/>
  <c r="H327" i="92"/>
  <c r="H290" i="92"/>
  <c r="H285" i="92"/>
  <c r="H370" i="92"/>
  <c r="K470" i="92"/>
  <c r="E470" i="92"/>
  <c r="L331" i="92"/>
  <c r="AD330" i="92"/>
  <c r="L353" i="92"/>
  <c r="H330" i="92"/>
  <c r="L330" i="92"/>
  <c r="AD240" i="92"/>
  <c r="L204" i="92"/>
  <c r="L48" i="92"/>
  <c r="L211" i="92"/>
  <c r="AD188" i="92"/>
  <c r="L218" i="92"/>
  <c r="L83" i="92"/>
  <c r="H188" i="92"/>
  <c r="H268" i="92"/>
  <c r="K508" i="92"/>
  <c r="K512" i="92"/>
  <c r="K507" i="92"/>
  <c r="K511" i="92"/>
  <c r="AD255" i="92"/>
  <c r="AD216" i="92"/>
  <c r="AD353" i="92"/>
  <c r="AD81" i="92"/>
  <c r="AD121" i="92"/>
  <c r="AD210" i="92"/>
  <c r="AD209" i="92"/>
  <c r="AD74" i="92"/>
  <c r="AD259" i="92"/>
  <c r="AD315" i="92"/>
  <c r="AD306" i="92"/>
  <c r="AD79" i="92"/>
  <c r="AD78" i="92"/>
  <c r="AD257" i="92"/>
  <c r="AD302" i="92"/>
  <c r="AD261" i="92"/>
  <c r="AD256" i="92"/>
  <c r="AD76" i="92"/>
  <c r="AD120" i="92"/>
  <c r="AD125" i="92"/>
  <c r="AD127" i="92"/>
  <c r="AD310" i="92"/>
  <c r="AD262" i="92"/>
  <c r="AD258" i="92"/>
  <c r="AD122" i="92"/>
  <c r="AD211" i="92"/>
  <c r="AD75" i="92"/>
  <c r="AD217" i="92"/>
  <c r="AD312" i="92"/>
  <c r="AD254" i="92"/>
  <c r="AD212" i="92"/>
  <c r="AD215" i="92"/>
  <c r="AD213" i="92"/>
  <c r="AD77" i="92"/>
  <c r="AD358" i="92"/>
  <c r="AD349" i="92"/>
  <c r="J541" i="92"/>
  <c r="E541" i="92"/>
  <c r="J538" i="92"/>
  <c r="E538" i="92"/>
  <c r="J536" i="92"/>
  <c r="E536" i="92"/>
  <c r="J534" i="92"/>
  <c r="E534" i="92"/>
  <c r="J535" i="92"/>
  <c r="E535" i="92"/>
  <c r="H315" i="92"/>
  <c r="H309" i="92"/>
  <c r="AD316" i="92"/>
  <c r="AD299" i="92"/>
  <c r="AD345" i="92"/>
  <c r="AD354" i="92"/>
  <c r="AD309" i="92"/>
  <c r="L352" i="92"/>
  <c r="AD359" i="92"/>
  <c r="L357" i="92"/>
  <c r="L368" i="92"/>
  <c r="L327" i="92"/>
  <c r="K462" i="92"/>
  <c r="E462" i="92"/>
  <c r="K514" i="92"/>
  <c r="K466" i="92"/>
  <c r="E466" i="92"/>
  <c r="AD361" i="92"/>
  <c r="L348" i="92"/>
  <c r="L216" i="92"/>
  <c r="L322" i="92"/>
  <c r="L356" i="92"/>
  <c r="H345" i="92"/>
  <c r="H580" i="92"/>
  <c r="H140" i="92"/>
  <c r="K515" i="92"/>
  <c r="H271" i="92"/>
  <c r="H215" i="92"/>
  <c r="H137" i="92"/>
  <c r="H617" i="92"/>
  <c r="H612" i="92"/>
  <c r="H300" i="92"/>
  <c r="H347" i="92"/>
  <c r="H257" i="92"/>
  <c r="H156" i="92"/>
  <c r="H605" i="92"/>
  <c r="H596" i="92"/>
  <c r="H355" i="92"/>
  <c r="H318" i="92"/>
  <c r="H291" i="92"/>
  <c r="H286" i="92"/>
  <c r="H600" i="92"/>
  <c r="J540" i="92"/>
  <c r="E540" i="92"/>
  <c r="AD277" i="92"/>
  <c r="AD283" i="92"/>
  <c r="AD289" i="92"/>
  <c r="AD303" i="92"/>
  <c r="H274" i="92"/>
  <c r="AD119" i="92"/>
  <c r="AD279" i="92"/>
  <c r="AD189" i="92"/>
  <c r="L82" i="92"/>
  <c r="L54" i="92"/>
  <c r="AD59" i="92"/>
  <c r="L68" i="92"/>
  <c r="AD58" i="92"/>
  <c r="AD242" i="92"/>
  <c r="H265" i="92"/>
  <c r="H244" i="92"/>
  <c r="H210" i="92"/>
  <c r="H247" i="92"/>
  <c r="H201" i="92"/>
  <c r="H217" i="92"/>
  <c r="H223" i="92"/>
  <c r="H586" i="92"/>
  <c r="H175" i="92"/>
  <c r="H350" i="92"/>
  <c r="H149" i="92"/>
  <c r="H579" i="92"/>
  <c r="H219" i="92"/>
  <c r="H191" i="92"/>
  <c r="H239" i="92"/>
  <c r="H224" i="92"/>
  <c r="H146" i="92"/>
  <c r="H221" i="92"/>
  <c r="H208" i="92"/>
  <c r="H326" i="92"/>
  <c r="H357" i="92"/>
  <c r="H296" i="92"/>
  <c r="H294" i="92"/>
  <c r="H143" i="92"/>
  <c r="H160" i="92"/>
  <c r="H162" i="92"/>
  <c r="H332" i="92"/>
  <c r="H302" i="92"/>
  <c r="H304" i="92"/>
  <c r="H284" i="92"/>
  <c r="H280" i="92"/>
  <c r="H604" i="92"/>
  <c r="H603" i="92"/>
  <c r="H369" i="92"/>
  <c r="H251" i="92"/>
  <c r="H186" i="92"/>
  <c r="H198" i="92"/>
  <c r="H246" i="92"/>
  <c r="H226" i="92"/>
  <c r="H166" i="92"/>
  <c r="H618" i="92"/>
  <c r="H301" i="92"/>
  <c r="H609" i="92"/>
  <c r="H328" i="92"/>
  <c r="H364" i="92"/>
  <c r="H352" i="92"/>
  <c r="H334" i="92"/>
  <c r="H338" i="92"/>
  <c r="H275" i="92"/>
  <c r="H619" i="92"/>
  <c r="H342" i="92"/>
  <c r="H324" i="92"/>
  <c r="H366" i="92"/>
  <c r="H276" i="92"/>
  <c r="H155" i="92"/>
  <c r="H158" i="92"/>
  <c r="H178" i="92"/>
  <c r="H578" i="92"/>
  <c r="H172" i="92"/>
  <c r="H228" i="92"/>
  <c r="H216" i="92"/>
  <c r="H189" i="92"/>
  <c r="H282" i="92"/>
  <c r="H272" i="92"/>
  <c r="H343" i="92"/>
  <c r="H341" i="92"/>
  <c r="H170" i="92"/>
  <c r="H173" i="92"/>
  <c r="H585" i="92"/>
  <c r="H590" i="92"/>
  <c r="H153" i="92"/>
  <c r="H245" i="92"/>
  <c r="H253" i="92"/>
  <c r="H218" i="92"/>
  <c r="H252" i="92"/>
  <c r="H222" i="92"/>
  <c r="H574" i="92"/>
  <c r="H598" i="92"/>
  <c r="H180" i="92"/>
  <c r="H325" i="92"/>
  <c r="H331" i="92"/>
  <c r="H237" i="92"/>
  <c r="H264" i="92"/>
  <c r="H229" i="92"/>
  <c r="H213" i="92"/>
  <c r="H576" i="92"/>
  <c r="H138" i="92"/>
  <c r="H139" i="92"/>
  <c r="H163" i="92"/>
  <c r="H358" i="92"/>
  <c r="H344" i="92"/>
  <c r="H283" i="92"/>
  <c r="H322" i="92"/>
  <c r="H620" i="92"/>
  <c r="H311" i="92"/>
  <c r="H323" i="92"/>
  <c r="H279" i="92"/>
  <c r="H292" i="92"/>
  <c r="H616" i="92"/>
  <c r="H611" i="92"/>
  <c r="H621" i="92"/>
  <c r="H167" i="92"/>
  <c r="H141" i="92"/>
  <c r="H142" i="92"/>
  <c r="H234" i="92"/>
  <c r="H250" i="92"/>
  <c r="H346" i="92"/>
  <c r="H367" i="92"/>
  <c r="H340" i="92"/>
  <c r="H307" i="92"/>
  <c r="H333" i="92"/>
  <c r="H151" i="92"/>
  <c r="H154" i="92"/>
  <c r="H145" i="92"/>
  <c r="H179" i="92"/>
  <c r="H157" i="92"/>
  <c r="H233" i="92"/>
  <c r="H254" i="92"/>
  <c r="H263" i="92"/>
  <c r="H243" i="92"/>
  <c r="H242" i="92"/>
  <c r="H161" i="92"/>
  <c r="H171" i="92"/>
  <c r="H615" i="92"/>
  <c r="H335" i="92"/>
  <c r="H278" i="92"/>
  <c r="K471" i="92"/>
  <c r="E471" i="92"/>
  <c r="K474" i="92"/>
  <c r="E474" i="92"/>
  <c r="K517" i="92"/>
  <c r="K521" i="92"/>
  <c r="K477" i="92"/>
  <c r="E477" i="92"/>
  <c r="K472" i="92"/>
  <c r="E472" i="92"/>
  <c r="H349" i="92"/>
  <c r="L324" i="92"/>
  <c r="L335" i="92"/>
  <c r="L223" i="92"/>
  <c r="H316" i="92"/>
  <c r="L347" i="92"/>
  <c r="H351" i="92"/>
  <c r="AD301" i="92"/>
  <c r="AD308" i="92"/>
  <c r="AD356" i="92"/>
  <c r="AD307" i="92"/>
  <c r="AD348" i="92"/>
  <c r="L350" i="92"/>
  <c r="AD351" i="92"/>
  <c r="L340" i="92"/>
  <c r="L360" i="92"/>
  <c r="L319" i="92"/>
  <c r="K464" i="92"/>
  <c r="E464" i="92"/>
  <c r="K465" i="92"/>
  <c r="E465" i="92"/>
  <c r="AD360" i="92"/>
  <c r="L333" i="92"/>
  <c r="L86" i="92"/>
  <c r="L202" i="92"/>
  <c r="L349" i="92"/>
  <c r="L336" i="92"/>
  <c r="H365" i="92"/>
  <c r="H147" i="92"/>
  <c r="H225" i="92"/>
  <c r="H258" i="92"/>
  <c r="H182" i="92"/>
  <c r="H573" i="92"/>
  <c r="H606" i="92"/>
  <c r="H583" i="92"/>
  <c r="H289" i="92"/>
  <c r="H299" i="92"/>
  <c r="H266" i="92"/>
  <c r="H220" i="92"/>
  <c r="H594" i="92"/>
  <c r="H177" i="92"/>
  <c r="H273" i="92"/>
  <c r="H354" i="92"/>
  <c r="H159" i="92"/>
  <c r="H321" i="92"/>
  <c r="H297" i="92"/>
  <c r="H577" i="92"/>
  <c r="J533" i="92"/>
  <c r="E533" i="92"/>
  <c r="AD324" i="92"/>
  <c r="L354" i="92"/>
  <c r="AD305" i="92"/>
  <c r="H584" i="92"/>
  <c r="AD80" i="92"/>
  <c r="AD124" i="92"/>
  <c r="AD123" i="92"/>
  <c r="AD233" i="92"/>
  <c r="AD244" i="92"/>
  <c r="L212" i="92"/>
  <c r="L63" i="92"/>
  <c r="L74" i="92"/>
  <c r="L187" i="92"/>
  <c r="L188" i="92"/>
  <c r="L210" i="92"/>
  <c r="L73" i="92"/>
  <c r="H194" i="92"/>
  <c r="AD223" i="92"/>
  <c r="AD85" i="92"/>
  <c r="AD263" i="92"/>
  <c r="AD221" i="92"/>
  <c r="AD204" i="92"/>
  <c r="AD110" i="92"/>
  <c r="AD252" i="92"/>
  <c r="AD69" i="92"/>
  <c r="AD251" i="92"/>
  <c r="AD66" i="92"/>
  <c r="AD111" i="92"/>
  <c r="AD72" i="92"/>
  <c r="AD249" i="92"/>
  <c r="AD201" i="92"/>
  <c r="AD113" i="92"/>
  <c r="I387" i="92"/>
  <c r="I374" i="92"/>
  <c r="I406" i="92"/>
  <c r="I402" i="92"/>
  <c r="I410" i="92"/>
  <c r="K483" i="92"/>
  <c r="K437" i="92"/>
  <c r="E437" i="92"/>
  <c r="H387" i="92"/>
  <c r="H382" i="92"/>
  <c r="K490" i="92"/>
  <c r="K449" i="92"/>
  <c r="E449" i="92"/>
  <c r="AD370" i="92"/>
  <c r="K439" i="92"/>
  <c r="E439" i="92"/>
  <c r="K487" i="92"/>
  <c r="K486" i="92"/>
  <c r="AD266" i="92"/>
  <c r="K441" i="92"/>
  <c r="E441" i="92"/>
  <c r="AD267" i="92"/>
  <c r="AD268" i="92"/>
  <c r="AD84" i="92"/>
  <c r="AD133" i="92"/>
  <c r="K495" i="92"/>
  <c r="H381" i="92"/>
  <c r="H380" i="92"/>
  <c r="AD128" i="92"/>
  <c r="J525" i="92"/>
  <c r="E525" i="92"/>
  <c r="J528" i="92"/>
  <c r="E528" i="92"/>
  <c r="J529" i="92"/>
  <c r="E529" i="92"/>
  <c r="K468" i="92"/>
  <c r="E468" i="92"/>
  <c r="K509" i="92"/>
  <c r="H212" i="92"/>
  <c r="H232" i="92"/>
  <c r="H193" i="92"/>
  <c r="H235" i="92"/>
  <c r="H207" i="92"/>
  <c r="H262" i="92"/>
  <c r="H230" i="92"/>
  <c r="H209" i="92"/>
  <c r="H293" i="92"/>
  <c r="H261" i="92"/>
  <c r="H187" i="92"/>
  <c r="H227" i="92"/>
  <c r="H200" i="92"/>
  <c r="H255" i="92"/>
  <c r="H259" i="92"/>
  <c r="H241" i="92"/>
  <c r="H197" i="92"/>
  <c r="H190" i="92"/>
  <c r="H192" i="92"/>
  <c r="H310" i="92"/>
  <c r="H169" i="92"/>
  <c r="H608" i="92"/>
  <c r="H303" i="92"/>
  <c r="H356" i="92"/>
  <c r="H148" i="92"/>
  <c r="H176" i="92"/>
  <c r="H360" i="92"/>
  <c r="H597" i="92"/>
  <c r="H184" i="92"/>
  <c r="H195" i="92"/>
  <c r="H202" i="92"/>
  <c r="H240" i="92"/>
  <c r="H581" i="92"/>
  <c r="H205" i="92"/>
  <c r="H269" i="92"/>
  <c r="H238" i="92"/>
  <c r="H236" i="92"/>
  <c r="H270" i="92"/>
  <c r="H267" i="92"/>
  <c r="H249" i="92"/>
  <c r="H211" i="92"/>
  <c r="H256" i="92"/>
  <c r="H185" i="92"/>
  <c r="H319" i="92"/>
  <c r="H613" i="92"/>
  <c r="H599" i="92"/>
  <c r="H329" i="92"/>
  <c r="H150" i="92"/>
  <c r="H313" i="92"/>
  <c r="H353" i="92"/>
  <c r="H602" i="92"/>
  <c r="H614" i="92"/>
  <c r="H595" i="92"/>
  <c r="H368" i="92"/>
  <c r="H298" i="92"/>
  <c r="H314" i="92"/>
  <c r="H359" i="92"/>
  <c r="H362" i="92"/>
  <c r="H363" i="92"/>
  <c r="H320" i="92"/>
  <c r="H317" i="92"/>
  <c r="H174" i="92"/>
  <c r="H587" i="92"/>
  <c r="AD194" i="92"/>
  <c r="AD193" i="92"/>
  <c r="AD236" i="92"/>
  <c r="AD56" i="92"/>
  <c r="AD105" i="92"/>
  <c r="AD182" i="92"/>
  <c r="AD97" i="92"/>
  <c r="AD243" i="92"/>
  <c r="AD107" i="92"/>
  <c r="AD195" i="92"/>
  <c r="AD102" i="92"/>
  <c r="AD232" i="92"/>
  <c r="AD327" i="92"/>
  <c r="AD183" i="92"/>
  <c r="AD57" i="92"/>
  <c r="AD186" i="92"/>
  <c r="AD55" i="92"/>
  <c r="AD48" i="92"/>
  <c r="AD94" i="92"/>
  <c r="AD99" i="92"/>
  <c r="AD287" i="92"/>
  <c r="AD272" i="92"/>
  <c r="AD326" i="92"/>
  <c r="AD319" i="92"/>
  <c r="AD185" i="92"/>
  <c r="AD92" i="92"/>
  <c r="AD191" i="92"/>
  <c r="AD235" i="92"/>
  <c r="AD230" i="92"/>
  <c r="AD47" i="92"/>
  <c r="AD184" i="92"/>
  <c r="AD95" i="92"/>
  <c r="AD108" i="92"/>
  <c r="AD198" i="92"/>
  <c r="AD100" i="92"/>
  <c r="AD61" i="92"/>
  <c r="AD197" i="92"/>
  <c r="AD49" i="92"/>
  <c r="AD227" i="92"/>
  <c r="AD109" i="92"/>
  <c r="AD192" i="92"/>
  <c r="AD334" i="92"/>
  <c r="AD328" i="92"/>
  <c r="AD317" i="92"/>
  <c r="AD332" i="92"/>
  <c r="AD273" i="92"/>
  <c r="AD321" i="92"/>
  <c r="AD322" i="92"/>
  <c r="K520" i="92"/>
  <c r="K516" i="92"/>
  <c r="K475" i="92"/>
  <c r="E475" i="92"/>
  <c r="K478" i="92"/>
  <c r="E478" i="92"/>
  <c r="K473" i="92"/>
  <c r="E473" i="92"/>
  <c r="K522" i="92"/>
  <c r="K518" i="92"/>
  <c r="K519" i="92"/>
  <c r="AD218" i="92"/>
  <c r="AD270" i="92"/>
  <c r="AD135" i="92"/>
  <c r="AD219" i="92"/>
  <c r="AD226" i="92"/>
  <c r="AD89" i="92"/>
  <c r="AD366" i="92"/>
  <c r="AD87" i="92"/>
  <c r="AD269" i="92"/>
  <c r="AD369" i="92"/>
  <c r="AD264" i="92"/>
  <c r="AD83" i="92"/>
  <c r="AD368" i="92"/>
  <c r="AD129" i="92"/>
  <c r="AD136" i="92"/>
  <c r="K448" i="92"/>
  <c r="E448" i="92"/>
  <c r="K447" i="92"/>
  <c r="E447" i="92"/>
  <c r="K444" i="92"/>
  <c r="E444" i="92"/>
  <c r="K493" i="92"/>
  <c r="K491" i="92"/>
  <c r="K442" i="92"/>
  <c r="E442" i="92"/>
  <c r="K436" i="92"/>
  <c r="E436" i="92"/>
  <c r="J546" i="92"/>
  <c r="E546" i="92"/>
  <c r="AD132" i="92"/>
  <c r="K434" i="92"/>
  <c r="E434" i="92"/>
  <c r="AD265" i="92"/>
  <c r="AD90" i="92"/>
  <c r="AD86" i="92"/>
  <c r="AD364" i="92"/>
  <c r="K446" i="92"/>
  <c r="E446" i="92"/>
  <c r="H385" i="92"/>
  <c r="AD271" i="92"/>
  <c r="K438" i="92"/>
  <c r="E438" i="92"/>
  <c r="L128" i="92"/>
  <c r="L261" i="92"/>
  <c r="L238" i="92"/>
  <c r="AD342" i="92"/>
  <c r="AD208" i="92"/>
  <c r="AB571" i="92"/>
  <c r="AD290" i="92"/>
  <c r="AD340" i="92"/>
  <c r="I405" i="92"/>
  <c r="I407" i="92"/>
  <c r="I403" i="92"/>
  <c r="I390" i="92"/>
  <c r="I400" i="92"/>
  <c r="I396" i="92"/>
  <c r="AD298" i="92"/>
  <c r="I399" i="92"/>
  <c r="J550" i="92"/>
  <c r="E550" i="92"/>
  <c r="J530" i="92"/>
  <c r="E530" i="92"/>
  <c r="H397" i="92"/>
  <c r="AD116" i="92"/>
  <c r="AD248" i="92"/>
  <c r="AD67" i="92"/>
  <c r="AD200" i="92"/>
  <c r="AD202" i="92"/>
  <c r="I376" i="92"/>
  <c r="I397" i="92"/>
  <c r="I380" i="92"/>
  <c r="AD245" i="92"/>
  <c r="AD114" i="92"/>
  <c r="AD65" i="92"/>
  <c r="L296" i="92"/>
  <c r="L136" i="92"/>
  <c r="AD296" i="92"/>
  <c r="AD294" i="92"/>
  <c r="I393" i="92"/>
  <c r="I386" i="92"/>
  <c r="I381" i="92"/>
  <c r="I383" i="92"/>
  <c r="I379" i="92"/>
  <c r="AD295" i="92"/>
  <c r="J548" i="92"/>
  <c r="E548" i="92"/>
  <c r="I9" i="98"/>
  <c r="P657" i="92"/>
  <c r="I395" i="92"/>
  <c r="I382" i="92"/>
  <c r="J542" i="92"/>
  <c r="E542" i="92"/>
  <c r="AD292" i="92"/>
  <c r="J527" i="92"/>
  <c r="E527" i="92"/>
  <c r="J531" i="92"/>
  <c r="E531" i="92"/>
  <c r="H394" i="92"/>
  <c r="AD207" i="92"/>
  <c r="AD253" i="92"/>
  <c r="H395" i="92"/>
  <c r="AD115" i="92"/>
  <c r="AD112" i="92"/>
  <c r="AD250" i="92"/>
  <c r="I377" i="92"/>
  <c r="I404" i="92"/>
  <c r="I372" i="92"/>
  <c r="H396" i="92"/>
  <c r="AD206" i="92"/>
  <c r="I401" i="92"/>
  <c r="AD118" i="92"/>
  <c r="I389" i="92"/>
  <c r="AD203" i="92"/>
  <c r="P40" i="71"/>
  <c r="P12" i="71"/>
  <c r="F58" i="99"/>
  <c r="O43" i="99"/>
  <c r="O112" i="99"/>
  <c r="N183" i="99"/>
  <c r="O183" i="99"/>
  <c r="F107" i="99"/>
  <c r="K107" i="99"/>
  <c r="M107" i="99"/>
  <c r="M110" i="99"/>
  <c r="I110" i="99"/>
  <c r="E107" i="99"/>
  <c r="O188" i="99"/>
  <c r="N188" i="99"/>
  <c r="N56" i="99"/>
  <c r="O56" i="99"/>
  <c r="O60" i="99"/>
  <c r="N60" i="99"/>
  <c r="G29" i="99"/>
  <c r="C29" i="99"/>
  <c r="J41" i="99"/>
  <c r="K41" i="99"/>
  <c r="M41" i="99"/>
  <c r="E41" i="99"/>
  <c r="F41" i="99"/>
  <c r="D41" i="99"/>
  <c r="I32" i="98"/>
  <c r="AD626" i="92"/>
  <c r="AD658" i="92"/>
  <c r="AD666" i="92"/>
  <c r="AD179" i="92"/>
  <c r="AD613" i="92"/>
  <c r="AD615" i="92"/>
  <c r="AD173" i="92"/>
  <c r="AD664" i="92"/>
  <c r="AD659" i="92"/>
  <c r="AD661" i="92"/>
  <c r="AD176" i="92"/>
  <c r="AD178" i="92"/>
  <c r="AD180" i="92"/>
  <c r="AD620" i="92"/>
  <c r="AD660" i="92"/>
  <c r="AD614" i="92"/>
  <c r="AD619" i="92"/>
  <c r="AD181" i="92"/>
  <c r="AD46" i="92"/>
  <c r="AD41" i="92"/>
  <c r="AD617" i="92"/>
  <c r="AD44" i="92"/>
  <c r="AD662" i="92"/>
  <c r="AD175" i="92"/>
  <c r="AD663" i="92"/>
  <c r="AD621" i="92"/>
  <c r="AD174" i="92"/>
  <c r="AD38" i="92"/>
  <c r="AD665" i="92"/>
  <c r="AD616" i="92"/>
  <c r="AD45" i="92"/>
  <c r="AD43" i="92"/>
  <c r="AD618" i="92"/>
  <c r="AD177" i="92"/>
  <c r="AD42" i="92"/>
  <c r="AD39" i="92"/>
  <c r="AD40" i="92"/>
  <c r="R2" i="92"/>
  <c r="R345" i="92"/>
  <c r="R314" i="92"/>
  <c r="R308" i="92"/>
  <c r="R316" i="92"/>
  <c r="R313" i="92"/>
  <c r="R352" i="92"/>
  <c r="R348" i="92"/>
  <c r="R301" i="92"/>
  <c r="R285" i="92"/>
  <c r="R368" i="92"/>
  <c r="R343" i="92"/>
  <c r="R327" i="92"/>
  <c r="R304" i="92"/>
  <c r="R283" i="92"/>
  <c r="R366" i="92"/>
  <c r="R341" i="92"/>
  <c r="R325" i="92"/>
  <c r="R295" i="92"/>
  <c r="R274" i="92"/>
  <c r="R359" i="92"/>
  <c r="R310" i="92"/>
  <c r="R311" i="92"/>
  <c r="R305" i="92"/>
  <c r="R281" i="92"/>
  <c r="R360" i="92"/>
  <c r="R330" i="92"/>
  <c r="R299" i="92"/>
  <c r="R272" i="92"/>
  <c r="R353" i="92"/>
  <c r="R320" i="92"/>
  <c r="R284" i="92"/>
  <c r="R364" i="92"/>
  <c r="R334" i="92"/>
  <c r="R307" i="92"/>
  <c r="R362" i="92"/>
  <c r="R275" i="92"/>
  <c r="R276" i="92"/>
  <c r="R280" i="92"/>
  <c r="R292" i="92"/>
  <c r="R293" i="92"/>
  <c r="R273" i="92"/>
  <c r="R338" i="92"/>
  <c r="R319" i="92"/>
  <c r="R288" i="92"/>
  <c r="R361" i="92"/>
  <c r="R333" i="92"/>
  <c r="R300" i="92"/>
  <c r="R369" i="92"/>
  <c r="R342" i="92"/>
  <c r="R326" i="92"/>
  <c r="R296" i="92"/>
  <c r="R321" i="92"/>
  <c r="R340" i="92"/>
  <c r="R332" i="92"/>
  <c r="R329" i="92"/>
  <c r="R282" i="92"/>
  <c r="R652" i="92"/>
  <c r="R309" i="92"/>
  <c r="R347" i="92"/>
  <c r="R351" i="92"/>
  <c r="R277" i="92"/>
  <c r="R322" i="92"/>
  <c r="R370" i="92"/>
  <c r="R306" i="92"/>
  <c r="R356" i="92"/>
  <c r="R302" i="92"/>
  <c r="R354" i="92"/>
  <c r="R365" i="92"/>
  <c r="R648" i="92"/>
  <c r="R665" i="92"/>
  <c r="R657" i="92"/>
  <c r="R647" i="92"/>
  <c r="R633" i="92"/>
  <c r="R625" i="92"/>
  <c r="R645" i="92"/>
  <c r="R636" i="92"/>
  <c r="R643" i="92"/>
  <c r="R634" i="92"/>
  <c r="R630" i="92"/>
  <c r="R609" i="92"/>
  <c r="R593" i="92"/>
  <c r="R577" i="92"/>
  <c r="R167" i="92"/>
  <c r="R152" i="92"/>
  <c r="R612" i="92"/>
  <c r="R596" i="92"/>
  <c r="R580" i="92"/>
  <c r="R166" i="92"/>
  <c r="R151" i="92"/>
  <c r="R169" i="92"/>
  <c r="R150" i="92"/>
  <c r="R139" i="92"/>
  <c r="R579" i="92"/>
  <c r="R165" i="92"/>
  <c r="R145" i="92"/>
  <c r="R611" i="92"/>
  <c r="R587" i="92"/>
  <c r="R618" i="92"/>
  <c r="R614" i="92"/>
  <c r="R140" i="92"/>
  <c r="R137" i="92"/>
  <c r="R573" i="92"/>
  <c r="R414" i="92"/>
  <c r="R382" i="92"/>
  <c r="R397" i="92"/>
  <c r="R411" i="92"/>
  <c r="R404" i="92"/>
  <c r="R372" i="92"/>
  <c r="R410" i="92"/>
  <c r="R378" i="92"/>
  <c r="R385" i="92"/>
  <c r="R407" i="92"/>
  <c r="R400" i="92"/>
  <c r="R383" i="92"/>
  <c r="R344" i="92"/>
  <c r="R350" i="92"/>
  <c r="R312" i="92"/>
  <c r="R297" i="92"/>
  <c r="R355" i="92"/>
  <c r="R294" i="92"/>
  <c r="R336" i="92"/>
  <c r="R279" i="92"/>
  <c r="R331" i="92"/>
  <c r="R357" i="92"/>
  <c r="R337" i="92"/>
  <c r="R287" i="92"/>
  <c r="R654" i="92"/>
  <c r="R644" i="92"/>
  <c r="R661" i="92"/>
  <c r="R664" i="92"/>
  <c r="R637" i="92"/>
  <c r="R629" i="92"/>
  <c r="R662" i="92"/>
  <c r="R623" i="92"/>
  <c r="R622" i="92"/>
  <c r="R624" i="92"/>
  <c r="R640" i="92"/>
  <c r="R617" i="92"/>
  <c r="R601" i="92"/>
  <c r="R585" i="92"/>
  <c r="R175" i="92"/>
  <c r="R160" i="92"/>
  <c r="R620" i="92"/>
  <c r="R604" i="92"/>
  <c r="R588" i="92"/>
  <c r="R174" i="92"/>
  <c r="R159" i="92"/>
  <c r="R177" i="92"/>
  <c r="R158" i="92"/>
  <c r="R146" i="92"/>
  <c r="R591" i="92"/>
  <c r="R172" i="92"/>
  <c r="R157" i="92"/>
  <c r="R619" i="92"/>
  <c r="R603" i="92"/>
  <c r="R144" i="92"/>
  <c r="R586" i="92"/>
  <c r="R590" i="92"/>
  <c r="R594" i="92"/>
  <c r="R582" i="92"/>
  <c r="R576" i="92"/>
  <c r="R398" i="92"/>
  <c r="R413" i="92"/>
  <c r="R381" i="92"/>
  <c r="R371" i="92"/>
  <c r="R388" i="92"/>
  <c r="R395" i="92"/>
  <c r="R394" i="92"/>
  <c r="R401" i="92"/>
  <c r="R408" i="92"/>
  <c r="R399" i="92"/>
  <c r="R391" i="92"/>
  <c r="R289" i="92"/>
  <c r="R278" i="92"/>
  <c r="R367" i="92"/>
  <c r="R298" i="92"/>
  <c r="R646" i="92"/>
  <c r="R666" i="92"/>
  <c r="R631" i="92"/>
  <c r="R641" i="92"/>
  <c r="R638" i="92"/>
  <c r="R621" i="92"/>
  <c r="R589" i="92"/>
  <c r="R164" i="92"/>
  <c r="R608" i="92"/>
  <c r="R181" i="92"/>
  <c r="R148" i="92"/>
  <c r="R147" i="92"/>
  <c r="R176" i="92"/>
  <c r="R138" i="92"/>
  <c r="R180" i="92"/>
  <c r="R606" i="92"/>
  <c r="R598" i="92"/>
  <c r="R390" i="92"/>
  <c r="R373" i="92"/>
  <c r="R380" i="92"/>
  <c r="R386" i="92"/>
  <c r="R376" i="92"/>
  <c r="R384" i="92"/>
  <c r="R39" i="92"/>
  <c r="R220" i="92"/>
  <c r="R90" i="92"/>
  <c r="R210" i="92"/>
  <c r="R232" i="92"/>
  <c r="R255" i="92"/>
  <c r="R185" i="92"/>
  <c r="R222" i="92"/>
  <c r="R196" i="92"/>
  <c r="R243" i="92"/>
  <c r="R225" i="92"/>
  <c r="R270" i="92"/>
  <c r="R216" i="92"/>
  <c r="R122" i="92"/>
  <c r="R117" i="92"/>
  <c r="R95" i="92"/>
  <c r="R104" i="92"/>
  <c r="R66" i="92"/>
  <c r="R94" i="92"/>
  <c r="R91" i="92"/>
  <c r="R75" i="92"/>
  <c r="R59" i="92"/>
  <c r="R89" i="92"/>
  <c r="R21" i="92"/>
  <c r="R50" i="92"/>
  <c r="R40" i="92"/>
  <c r="R48" i="92"/>
  <c r="R15" i="92"/>
  <c r="R13" i="92"/>
  <c r="R265" i="92"/>
  <c r="R224" i="92"/>
  <c r="R136" i="92"/>
  <c r="R128" i="92"/>
  <c r="R84" i="92"/>
  <c r="R41" i="92"/>
  <c r="R215" i="92"/>
  <c r="R254" i="92"/>
  <c r="R186" i="92"/>
  <c r="R244" i="92"/>
  <c r="R249" i="92"/>
  <c r="R204" i="92"/>
  <c r="R191" i="92"/>
  <c r="R188" i="92"/>
  <c r="R231" i="92"/>
  <c r="R213" i="92"/>
  <c r="R123" i="92"/>
  <c r="R116" i="92"/>
  <c r="R107" i="92"/>
  <c r="R62" i="92"/>
  <c r="R55" i="92"/>
  <c r="R69" i="92"/>
  <c r="R56" i="92"/>
  <c r="R60" i="92"/>
  <c r="R5" i="92"/>
  <c r="R31" i="92"/>
  <c r="R346" i="92"/>
  <c r="R315" i="92"/>
  <c r="R335" i="92"/>
  <c r="R328" i="92"/>
  <c r="R323" i="92"/>
  <c r="R286" i="92"/>
  <c r="R656" i="92"/>
  <c r="R663" i="92"/>
  <c r="R639" i="92"/>
  <c r="R660" i="92"/>
  <c r="R628" i="92"/>
  <c r="R626" i="92"/>
  <c r="R605" i="92"/>
  <c r="R178" i="92"/>
  <c r="R149" i="92"/>
  <c r="R592" i="92"/>
  <c r="R163" i="92"/>
  <c r="R162" i="92"/>
  <c r="R595" i="92"/>
  <c r="R161" i="92"/>
  <c r="R607" i="92"/>
  <c r="R602" i="92"/>
  <c r="R610" i="92"/>
  <c r="R574" i="92"/>
  <c r="R405" i="92"/>
  <c r="R412" i="92"/>
  <c r="R379" i="92"/>
  <c r="R393" i="92"/>
  <c r="R415" i="92"/>
  <c r="R194" i="92"/>
  <c r="R108" i="92"/>
  <c r="R266" i="92"/>
  <c r="R259" i="92"/>
  <c r="R201" i="92"/>
  <c r="R228" i="92"/>
  <c r="R261" i="92"/>
  <c r="R237" i="92"/>
  <c r="R183" i="92"/>
  <c r="R126" i="92"/>
  <c r="R135" i="92"/>
  <c r="R198" i="92"/>
  <c r="R250" i="92"/>
  <c r="R111" i="92"/>
  <c r="R124" i="92"/>
  <c r="R97" i="92"/>
  <c r="R77" i="92"/>
  <c r="R63" i="92"/>
  <c r="R45" i="92"/>
  <c r="R96" i="92"/>
  <c r="R85" i="92"/>
  <c r="R67" i="92"/>
  <c r="R36" i="92"/>
  <c r="R19" i="92"/>
  <c r="R7" i="92"/>
  <c r="R27" i="92"/>
  <c r="R22" i="92"/>
  <c r="R269" i="92"/>
  <c r="R218" i="92"/>
  <c r="R349" i="92"/>
  <c r="R317" i="92"/>
  <c r="R291" i="92"/>
  <c r="R650" i="92"/>
  <c r="R635" i="92"/>
  <c r="R632" i="92"/>
  <c r="R597" i="92"/>
  <c r="R616" i="92"/>
  <c r="R155" i="92"/>
  <c r="R583" i="92"/>
  <c r="R599" i="92"/>
  <c r="R578" i="92"/>
  <c r="R374" i="92"/>
  <c r="R403" i="92"/>
  <c r="R375" i="92"/>
  <c r="R239" i="92"/>
  <c r="R202" i="92"/>
  <c r="R99" i="92"/>
  <c r="R252" i="92"/>
  <c r="R268" i="92"/>
  <c r="R234" i="92"/>
  <c r="R131" i="92"/>
  <c r="R214" i="92"/>
  <c r="R248" i="92"/>
  <c r="R100" i="92"/>
  <c r="R70" i="92"/>
  <c r="R92" i="92"/>
  <c r="R72" i="92"/>
  <c r="R3" i="92"/>
  <c r="R30" i="92"/>
  <c r="R25" i="92"/>
  <c r="R267" i="92"/>
  <c r="R221" i="92"/>
  <c r="R134" i="92"/>
  <c r="R38" i="92"/>
  <c r="R260" i="92"/>
  <c r="R253" i="92"/>
  <c r="R262" i="92"/>
  <c r="R217" i="92"/>
  <c r="R184" i="92"/>
  <c r="R203" i="92"/>
  <c r="R182" i="92"/>
  <c r="R121" i="92"/>
  <c r="R112" i="92"/>
  <c r="R101" i="92"/>
  <c r="R80" i="92"/>
  <c r="R65" i="92"/>
  <c r="R53" i="92"/>
  <c r="R74" i="92"/>
  <c r="R8" i="92"/>
  <c r="R35" i="92"/>
  <c r="R28" i="92"/>
  <c r="R14" i="92"/>
  <c r="R358" i="92"/>
  <c r="R303" i="92"/>
  <c r="R642" i="92"/>
  <c r="R627" i="92"/>
  <c r="R651" i="92"/>
  <c r="R581" i="92"/>
  <c r="R600" i="92"/>
  <c r="R173" i="92"/>
  <c r="R168" i="92"/>
  <c r="R141" i="92"/>
  <c r="R389" i="92"/>
  <c r="R402" i="92"/>
  <c r="R392" i="92"/>
  <c r="R212" i="92"/>
  <c r="R187" i="92"/>
  <c r="R242" i="92"/>
  <c r="R246" i="92"/>
  <c r="R192" i="92"/>
  <c r="R264" i="92"/>
  <c r="R109" i="92"/>
  <c r="R115" i="92"/>
  <c r="R61" i="92"/>
  <c r="R88" i="92"/>
  <c r="R98" i="92"/>
  <c r="R32" i="92"/>
  <c r="R9" i="92"/>
  <c r="R34" i="92"/>
  <c r="R263" i="92"/>
  <c r="R132" i="92"/>
  <c r="R46" i="92"/>
  <c r="R235" i="92"/>
  <c r="R241" i="92"/>
  <c r="R245" i="92"/>
  <c r="R256" i="92"/>
  <c r="R193" i="92"/>
  <c r="R208" i="92"/>
  <c r="R195" i="92"/>
  <c r="R199" i="92"/>
  <c r="R119" i="92"/>
  <c r="R110" i="92"/>
  <c r="R64" i="92"/>
  <c r="R51" i="92"/>
  <c r="R78" i="92"/>
  <c r="R58" i="92"/>
  <c r="R6" i="92"/>
  <c r="R33" i="92"/>
  <c r="R24" i="92"/>
  <c r="R16" i="92"/>
  <c r="R318" i="92"/>
  <c r="R290" i="92"/>
  <c r="R324" i="92"/>
  <c r="R659" i="92"/>
  <c r="R653" i="92"/>
  <c r="R658" i="92"/>
  <c r="R171" i="92"/>
  <c r="R584" i="92"/>
  <c r="R154" i="92"/>
  <c r="R153" i="92"/>
  <c r="R143" i="92"/>
  <c r="R575" i="92"/>
  <c r="R387" i="92"/>
  <c r="R409" i="92"/>
  <c r="R240" i="92"/>
  <c r="R207" i="92"/>
  <c r="R219" i="92"/>
  <c r="R230" i="92"/>
  <c r="R205" i="92"/>
  <c r="R102" i="92"/>
  <c r="R106" i="92"/>
  <c r="R54" i="92"/>
  <c r="R79" i="92"/>
  <c r="R86" i="92"/>
  <c r="R17" i="92"/>
  <c r="R4" i="92"/>
  <c r="R130" i="92"/>
  <c r="R42" i="92"/>
  <c r="R200" i="92"/>
  <c r="R233" i="92"/>
  <c r="R251" i="92"/>
  <c r="R236" i="92"/>
  <c r="R258" i="92"/>
  <c r="R247" i="92"/>
  <c r="R238" i="92"/>
  <c r="R127" i="92"/>
  <c r="R118" i="92"/>
  <c r="R105" i="92"/>
  <c r="R49" i="92"/>
  <c r="R47" i="92"/>
  <c r="R73" i="92"/>
  <c r="R76" i="92"/>
  <c r="R29" i="92"/>
  <c r="R23" i="92"/>
  <c r="R363" i="92"/>
  <c r="R339" i="92"/>
  <c r="R655" i="92"/>
  <c r="R649" i="92"/>
  <c r="R613" i="92"/>
  <c r="R156" i="92"/>
  <c r="R170" i="92"/>
  <c r="R142" i="92"/>
  <c r="R615" i="92"/>
  <c r="R179" i="92"/>
  <c r="R406" i="92"/>
  <c r="R396" i="92"/>
  <c r="R377" i="92"/>
  <c r="R113" i="92"/>
  <c r="R223" i="92"/>
  <c r="R129" i="92"/>
  <c r="R257" i="92"/>
  <c r="R189" i="92"/>
  <c r="R133" i="92"/>
  <c r="R93" i="92"/>
  <c r="R120" i="92"/>
  <c r="R87" i="92"/>
  <c r="R57" i="92"/>
  <c r="R81" i="92"/>
  <c r="R12" i="92"/>
  <c r="R52" i="92"/>
  <c r="R43" i="92"/>
  <c r="R271" i="92"/>
  <c r="R226" i="92"/>
  <c r="R83" i="92"/>
  <c r="R44" i="92"/>
  <c r="R190" i="92"/>
  <c r="R211" i="92"/>
  <c r="R206" i="92"/>
  <c r="R229" i="92"/>
  <c r="R227" i="92"/>
  <c r="R209" i="92"/>
  <c r="R197" i="92"/>
  <c r="R125" i="92"/>
  <c r="R114" i="92"/>
  <c r="R103" i="92"/>
  <c r="R82" i="92"/>
  <c r="R68" i="92"/>
  <c r="R71" i="92"/>
  <c r="R10" i="92"/>
  <c r="R37" i="92"/>
  <c r="R26" i="92"/>
  <c r="R20" i="92"/>
  <c r="R11" i="92"/>
  <c r="R18" i="92"/>
  <c r="H2" i="92"/>
  <c r="H650" i="92"/>
  <c r="H642" i="92"/>
  <c r="H659" i="92"/>
  <c r="H643" i="92"/>
  <c r="H635" i="92"/>
  <c r="H627" i="92"/>
  <c r="H660" i="92"/>
  <c r="H653" i="92"/>
  <c r="H628" i="92"/>
  <c r="H664" i="92"/>
  <c r="H636" i="92"/>
  <c r="H654" i="92"/>
  <c r="H646" i="92"/>
  <c r="H663" i="92"/>
  <c r="H662" i="92"/>
  <c r="H639" i="92"/>
  <c r="H631" i="92"/>
  <c r="H666" i="92"/>
  <c r="H623" i="92"/>
  <c r="H632" i="92"/>
  <c r="H634" i="92"/>
  <c r="H630" i="92"/>
  <c r="H39" i="92"/>
  <c r="H644" i="92"/>
  <c r="H651" i="92"/>
  <c r="H629" i="92"/>
  <c r="H655" i="92"/>
  <c r="H622" i="92"/>
  <c r="H113" i="92"/>
  <c r="H126" i="92"/>
  <c r="H129" i="92"/>
  <c r="H93" i="92"/>
  <c r="H95" i="92"/>
  <c r="H97" i="92"/>
  <c r="H124" i="92"/>
  <c r="H86" i="92"/>
  <c r="H75" i="92"/>
  <c r="H57" i="92"/>
  <c r="H94" i="92"/>
  <c r="H81" i="92"/>
  <c r="H63" i="92"/>
  <c r="H21" i="92"/>
  <c r="H25" i="92"/>
  <c r="H48" i="92"/>
  <c r="H22" i="92"/>
  <c r="H40" i="92"/>
  <c r="H134" i="92"/>
  <c r="H44" i="92"/>
  <c r="H41" i="92"/>
  <c r="H103" i="92"/>
  <c r="H118" i="92"/>
  <c r="H125" i="92"/>
  <c r="H76" i="92"/>
  <c r="H78" i="92"/>
  <c r="H64" i="92"/>
  <c r="H68" i="92"/>
  <c r="H71" i="92"/>
  <c r="H5" i="92"/>
  <c r="H35" i="92"/>
  <c r="H652" i="92"/>
  <c r="H661" i="92"/>
  <c r="H637" i="92"/>
  <c r="H658" i="92"/>
  <c r="H645" i="92"/>
  <c r="H647" i="92"/>
  <c r="H108" i="92"/>
  <c r="H135" i="92"/>
  <c r="H102" i="92"/>
  <c r="H106" i="92"/>
  <c r="H104" i="92"/>
  <c r="H87" i="92"/>
  <c r="H66" i="92"/>
  <c r="H88" i="92"/>
  <c r="H91" i="92"/>
  <c r="H72" i="92"/>
  <c r="H54" i="92"/>
  <c r="H3" i="92"/>
  <c r="H17" i="92"/>
  <c r="H13" i="92"/>
  <c r="H15" i="92"/>
  <c r="H19" i="92"/>
  <c r="H27" i="92"/>
  <c r="H657" i="92"/>
  <c r="H649" i="92"/>
  <c r="H626" i="92"/>
  <c r="H120" i="92"/>
  <c r="H100" i="92"/>
  <c r="H85" i="92"/>
  <c r="H61" i="92"/>
  <c r="H89" i="92"/>
  <c r="H7" i="92"/>
  <c r="H4" i="92"/>
  <c r="H136" i="92"/>
  <c r="H84" i="92"/>
  <c r="H42" i="92"/>
  <c r="H114" i="92"/>
  <c r="H107" i="92"/>
  <c r="H119" i="92"/>
  <c r="H58" i="92"/>
  <c r="H62" i="92"/>
  <c r="H65" i="92"/>
  <c r="H55" i="92"/>
  <c r="H37" i="92"/>
  <c r="H24" i="92"/>
  <c r="H23" i="92"/>
  <c r="H11" i="92"/>
  <c r="H18" i="92"/>
  <c r="H656" i="92"/>
  <c r="H641" i="92"/>
  <c r="H640" i="92"/>
  <c r="H90" i="92"/>
  <c r="H131" i="92"/>
  <c r="H115" i="92"/>
  <c r="H109" i="92"/>
  <c r="H92" i="92"/>
  <c r="H96" i="92"/>
  <c r="H77" i="92"/>
  <c r="H36" i="92"/>
  <c r="H43" i="92"/>
  <c r="H30" i="92"/>
  <c r="H132" i="92"/>
  <c r="H83" i="92"/>
  <c r="H105" i="92"/>
  <c r="H121" i="92"/>
  <c r="H60" i="92"/>
  <c r="H47" i="92"/>
  <c r="H51" i="92"/>
  <c r="H10" i="92"/>
  <c r="H33" i="92"/>
  <c r="H26" i="92"/>
  <c r="H16" i="92"/>
  <c r="H648" i="92"/>
  <c r="H633" i="92"/>
  <c r="H624" i="92"/>
  <c r="H99" i="92"/>
  <c r="H133" i="92"/>
  <c r="H122" i="92"/>
  <c r="H79" i="92"/>
  <c r="H45" i="92"/>
  <c r="H67" i="92"/>
  <c r="H12" i="92"/>
  <c r="H52" i="92"/>
  <c r="H50" i="92"/>
  <c r="H128" i="92"/>
  <c r="H38" i="92"/>
  <c r="H112" i="92"/>
  <c r="H101" i="92"/>
  <c r="H123" i="92"/>
  <c r="H74" i="92"/>
  <c r="H49" i="92"/>
  <c r="H80" i="92"/>
  <c r="H53" i="92"/>
  <c r="H8" i="92"/>
  <c r="H31" i="92"/>
  <c r="H20" i="92"/>
  <c r="H14" i="92"/>
  <c r="H665" i="92"/>
  <c r="H625" i="92"/>
  <c r="H638" i="92"/>
  <c r="H111" i="92"/>
  <c r="H117" i="92"/>
  <c r="H70" i="92"/>
  <c r="H98" i="92"/>
  <c r="H59" i="92"/>
  <c r="H32" i="92"/>
  <c r="H34" i="92"/>
  <c r="H9" i="92"/>
  <c r="H130" i="92"/>
  <c r="H46" i="92"/>
  <c r="H127" i="92"/>
  <c r="H116" i="92"/>
  <c r="H110" i="92"/>
  <c r="H73" i="92"/>
  <c r="H56" i="92"/>
  <c r="H82" i="92"/>
  <c r="H69" i="92"/>
  <c r="H6" i="92"/>
  <c r="H29" i="92"/>
  <c r="H28" i="92"/>
  <c r="P2" i="92"/>
  <c r="P651" i="92"/>
  <c r="P660" i="92"/>
  <c r="P632" i="92"/>
  <c r="P659" i="92"/>
  <c r="P625" i="92"/>
  <c r="P643" i="92"/>
  <c r="P640" i="92"/>
  <c r="P624" i="92"/>
  <c r="P642" i="92"/>
  <c r="P650" i="92"/>
  <c r="P641" i="92"/>
  <c r="P622" i="92"/>
  <c r="P4" i="92"/>
  <c r="P40" i="92"/>
  <c r="P13" i="92"/>
  <c r="P128" i="92"/>
  <c r="P130" i="92"/>
  <c r="P38" i="92"/>
  <c r="P110" i="92"/>
  <c r="P119" i="92"/>
  <c r="P101" i="92"/>
  <c r="P47" i="92"/>
  <c r="P65" i="92"/>
  <c r="P68" i="92"/>
  <c r="P74" i="92"/>
  <c r="P29" i="92"/>
  <c r="P14" i="92"/>
  <c r="P20" i="92"/>
  <c r="P658" i="92"/>
  <c r="P623" i="92"/>
  <c r="P39" i="92"/>
  <c r="P111" i="92"/>
  <c r="P120" i="92"/>
  <c r="P85" i="92"/>
  <c r="P94" i="92"/>
  <c r="P66" i="92"/>
  <c r="P21" i="92"/>
  <c r="P3" i="92"/>
  <c r="P634" i="92"/>
  <c r="P633" i="92"/>
  <c r="P30" i="92"/>
  <c r="P22" i="92"/>
  <c r="P48" i="92"/>
  <c r="P84" i="92"/>
  <c r="P83" i="92"/>
  <c r="P41" i="92"/>
  <c r="P121" i="92"/>
  <c r="P103" i="92"/>
  <c r="P112" i="92"/>
  <c r="P76" i="92"/>
  <c r="P49" i="92"/>
  <c r="P58" i="92"/>
  <c r="P56" i="92"/>
  <c r="P5" i="92"/>
  <c r="P31" i="92"/>
  <c r="P11" i="92"/>
  <c r="P23" i="92"/>
  <c r="P649" i="92"/>
  <c r="P661" i="92"/>
  <c r="P631" i="92"/>
  <c r="P129" i="92"/>
  <c r="P102" i="92"/>
  <c r="P93" i="92"/>
  <c r="P92" i="92"/>
  <c r="P75" i="92"/>
  <c r="P57" i="92"/>
  <c r="P12" i="92"/>
  <c r="W329" i="92"/>
  <c r="W321" i="92"/>
  <c r="W330" i="92"/>
  <c r="W322" i="92"/>
  <c r="W280" i="92"/>
  <c r="W279" i="92"/>
  <c r="W281" i="92"/>
  <c r="W289" i="92"/>
  <c r="W287" i="92"/>
  <c r="W333" i="92"/>
  <c r="W325" i="92"/>
  <c r="W334" i="92"/>
  <c r="W326" i="92"/>
  <c r="W288" i="92"/>
  <c r="W272" i="92"/>
  <c r="W318" i="92"/>
  <c r="W274" i="92"/>
  <c r="W277" i="92"/>
  <c r="W327" i="92"/>
  <c r="W328" i="92"/>
  <c r="W276" i="92"/>
  <c r="W275" i="92"/>
  <c r="W286" i="92"/>
  <c r="W636" i="92"/>
  <c r="W628" i="92"/>
  <c r="W637" i="92"/>
  <c r="W639" i="92"/>
  <c r="W633" i="92"/>
  <c r="W579" i="92"/>
  <c r="W590" i="92"/>
  <c r="W153" i="92"/>
  <c r="W588" i="92"/>
  <c r="W580" i="92"/>
  <c r="W137" i="92"/>
  <c r="W143" i="92"/>
  <c r="W142" i="92"/>
  <c r="W145" i="92"/>
  <c r="W375" i="92"/>
  <c r="W406" i="92"/>
  <c r="W413" i="92"/>
  <c r="W410" i="92"/>
  <c r="W379" i="92"/>
  <c r="W409" i="92"/>
  <c r="W319" i="92"/>
  <c r="W320" i="92"/>
  <c r="W278" i="92"/>
  <c r="W283" i="92"/>
  <c r="W632" i="92"/>
  <c r="W624" i="92"/>
  <c r="W625" i="92"/>
  <c r="W635" i="92"/>
  <c r="W587" i="92"/>
  <c r="W150" i="92"/>
  <c r="W582" i="92"/>
  <c r="W592" i="92"/>
  <c r="W584" i="92"/>
  <c r="W144" i="92"/>
  <c r="W149" i="92"/>
  <c r="W152" i="92"/>
  <c r="W138" i="92"/>
  <c r="W407" i="92"/>
  <c r="W402" i="92"/>
  <c r="W374" i="92"/>
  <c r="W373" i="92"/>
  <c r="W411" i="92"/>
  <c r="W401" i="92"/>
  <c r="W408" i="92"/>
  <c r="W331" i="92"/>
  <c r="W284" i="92"/>
  <c r="W273" i="92"/>
  <c r="W626" i="92"/>
  <c r="W631" i="92"/>
  <c r="W154" i="92"/>
  <c r="W593" i="92"/>
  <c r="W577" i="92"/>
  <c r="W140" i="92"/>
  <c r="W414" i="92"/>
  <c r="W372" i="92"/>
  <c r="W400" i="92"/>
  <c r="W185" i="92"/>
  <c r="W240" i="92"/>
  <c r="W228" i="92"/>
  <c r="W242" i="92"/>
  <c r="W95" i="92"/>
  <c r="W106" i="92"/>
  <c r="W61" i="92"/>
  <c r="W54" i="92"/>
  <c r="W52" i="92"/>
  <c r="W4" i="92"/>
  <c r="W9" i="92"/>
  <c r="W197" i="92"/>
  <c r="W227" i="92"/>
  <c r="W199" i="92"/>
  <c r="W186" i="92"/>
  <c r="W195" i="92"/>
  <c r="W101" i="92"/>
  <c r="W49" i="92"/>
  <c r="W58" i="92"/>
  <c r="W64" i="92"/>
  <c r="W5" i="92"/>
  <c r="W332" i="92"/>
  <c r="W317" i="92"/>
  <c r="W634" i="92"/>
  <c r="W629" i="92"/>
  <c r="W591" i="92"/>
  <c r="W586" i="92"/>
  <c r="W585" i="92"/>
  <c r="W146" i="92"/>
  <c r="W139" i="92"/>
  <c r="W399" i="92"/>
  <c r="W404" i="92"/>
  <c r="W403" i="92"/>
  <c r="W376" i="92"/>
  <c r="W239" i="92"/>
  <c r="W99" i="92"/>
  <c r="W198" i="92"/>
  <c r="W234" i="92"/>
  <c r="W196" i="92"/>
  <c r="W109" i="92"/>
  <c r="W100" i="92"/>
  <c r="W63" i="92"/>
  <c r="W94" i="92"/>
  <c r="W3" i="92"/>
  <c r="W17" i="92"/>
  <c r="W13" i="92"/>
  <c r="W323" i="92"/>
  <c r="W622" i="92"/>
  <c r="W594" i="92"/>
  <c r="W141" i="92"/>
  <c r="W415" i="92"/>
  <c r="W378" i="92"/>
  <c r="W243" i="92"/>
  <c r="W192" i="92"/>
  <c r="W102" i="92"/>
  <c r="W98" i="92"/>
  <c r="W96" i="92"/>
  <c r="W15" i="92"/>
  <c r="W19" i="92"/>
  <c r="W236" i="92"/>
  <c r="W233" i="92"/>
  <c r="W244" i="92"/>
  <c r="W105" i="92"/>
  <c r="W56" i="92"/>
  <c r="W10" i="92"/>
  <c r="W14" i="92"/>
  <c r="W2" i="92"/>
  <c r="W324" i="92"/>
  <c r="W623" i="92"/>
  <c r="W578" i="92"/>
  <c r="W148" i="92"/>
  <c r="W412" i="92"/>
  <c r="W371" i="92"/>
  <c r="W194" i="92"/>
  <c r="W230" i="92"/>
  <c r="W187" i="92"/>
  <c r="W104" i="92"/>
  <c r="W57" i="92"/>
  <c r="W48" i="92"/>
  <c r="W238" i="92"/>
  <c r="W229" i="92"/>
  <c r="W188" i="92"/>
  <c r="W182" i="92"/>
  <c r="W103" i="92"/>
  <c r="W53" i="92"/>
  <c r="W60" i="92"/>
  <c r="W8" i="92"/>
  <c r="W11" i="92"/>
  <c r="W285" i="92"/>
  <c r="W638" i="92"/>
  <c r="W627" i="92"/>
  <c r="W589" i="92"/>
  <c r="W151" i="92"/>
  <c r="W398" i="92"/>
  <c r="W377" i="92"/>
  <c r="W108" i="92"/>
  <c r="W183" i="92"/>
  <c r="W237" i="92"/>
  <c r="W97" i="92"/>
  <c r="W59" i="92"/>
  <c r="W12" i="92"/>
  <c r="W7" i="92"/>
  <c r="W231" i="92"/>
  <c r="W190" i="92"/>
  <c r="W235" i="92"/>
  <c r="W191" i="92"/>
  <c r="W51" i="92"/>
  <c r="W62" i="92"/>
  <c r="W6" i="92"/>
  <c r="W18" i="92"/>
  <c r="W282" i="92"/>
  <c r="W630" i="92"/>
  <c r="W583" i="92"/>
  <c r="W581" i="92"/>
  <c r="W147" i="92"/>
  <c r="W405" i="92"/>
  <c r="W232" i="92"/>
  <c r="W189" i="92"/>
  <c r="W93" i="92"/>
  <c r="W92" i="92"/>
  <c r="W50" i="92"/>
  <c r="W184" i="92"/>
  <c r="W241" i="92"/>
  <c r="W193" i="92"/>
  <c r="W107" i="92"/>
  <c r="W55" i="92"/>
  <c r="W47" i="92"/>
  <c r="W16" i="92"/>
  <c r="S2" i="92"/>
  <c r="S345" i="92"/>
  <c r="S352" i="92"/>
  <c r="S313" i="92"/>
  <c r="S347" i="92"/>
  <c r="S312" i="92"/>
  <c r="S344" i="92"/>
  <c r="S351" i="92"/>
  <c r="S367" i="92"/>
  <c r="S359" i="92"/>
  <c r="S342" i="92"/>
  <c r="S334" i="92"/>
  <c r="S326" i="92"/>
  <c r="S304" i="92"/>
  <c r="S288" i="92"/>
  <c r="S272" i="92"/>
  <c r="S341" i="92"/>
  <c r="S297" i="92"/>
  <c r="S279" i="92"/>
  <c r="S339" i="92"/>
  <c r="S302" i="92"/>
  <c r="S277" i="92"/>
  <c r="S337" i="92"/>
  <c r="S303" i="92"/>
  <c r="S273" i="92"/>
  <c r="S327" i="92"/>
  <c r="S287" i="92"/>
  <c r="S318" i="92"/>
  <c r="S308" i="92"/>
  <c r="S310" i="92"/>
  <c r="S311" i="92"/>
  <c r="S346" i="92"/>
  <c r="S363" i="92"/>
  <c r="S355" i="92"/>
  <c r="S338" i="92"/>
  <c r="S330" i="92"/>
  <c r="S322" i="92"/>
  <c r="S296" i="92"/>
  <c r="S280" i="92"/>
  <c r="S366" i="92"/>
  <c r="S325" i="92"/>
  <c r="S290" i="92"/>
  <c r="S364" i="92"/>
  <c r="S323" i="92"/>
  <c r="S291" i="92"/>
  <c r="S362" i="92"/>
  <c r="S321" i="92"/>
  <c r="S289" i="92"/>
  <c r="S278" i="92"/>
  <c r="S301" i="92"/>
  <c r="S360" i="92"/>
  <c r="S285" i="92"/>
  <c r="S348" i="92"/>
  <c r="S316" i="92"/>
  <c r="S357" i="92"/>
  <c r="S332" i="92"/>
  <c r="S300" i="92"/>
  <c r="S370" i="92"/>
  <c r="S295" i="92"/>
  <c r="S331" i="92"/>
  <c r="S275" i="92"/>
  <c r="S298" i="92"/>
  <c r="S317" i="92"/>
  <c r="S299" i="92"/>
  <c r="S665" i="92"/>
  <c r="S657" i="92"/>
  <c r="S651" i="92"/>
  <c r="S643" i="92"/>
  <c r="S623" i="92"/>
  <c r="S642" i="92"/>
  <c r="S634" i="92"/>
  <c r="S626" i="92"/>
  <c r="S631" i="92"/>
  <c r="S637" i="92"/>
  <c r="S664" i="92"/>
  <c r="S622" i="92"/>
  <c r="S608" i="92"/>
  <c r="S592" i="92"/>
  <c r="S181" i="92"/>
  <c r="S163" i="92"/>
  <c r="S148" i="92"/>
  <c r="S607" i="92"/>
  <c r="S591" i="92"/>
  <c r="S180" i="92"/>
  <c r="S162" i="92"/>
  <c r="S147" i="92"/>
  <c r="S165" i="92"/>
  <c r="S145" i="92"/>
  <c r="S594" i="92"/>
  <c r="S149" i="92"/>
  <c r="S609" i="92"/>
  <c r="S593" i="92"/>
  <c r="S577" i="92"/>
  <c r="S137" i="92"/>
  <c r="S602" i="92"/>
  <c r="S140" i="92"/>
  <c r="S164" i="92"/>
  <c r="S139" i="92"/>
  <c r="S576" i="92"/>
  <c r="S412" i="92"/>
  <c r="S404" i="92"/>
  <c r="S399" i="92"/>
  <c r="S408" i="92"/>
  <c r="S391" i="92"/>
  <c r="S382" i="92"/>
  <c r="S381" i="92"/>
  <c r="S380" i="92"/>
  <c r="S379" i="92"/>
  <c r="S385" i="92"/>
  <c r="S349" i="92"/>
  <c r="S309" i="92"/>
  <c r="S365" i="92"/>
  <c r="S340" i="92"/>
  <c r="S324" i="92"/>
  <c r="S284" i="92"/>
  <c r="S333" i="92"/>
  <c r="S274" i="92"/>
  <c r="S293" i="92"/>
  <c r="S329" i="92"/>
  <c r="S335" i="92"/>
  <c r="S282" i="92"/>
  <c r="S661" i="92"/>
  <c r="S655" i="92"/>
  <c r="S647" i="92"/>
  <c r="S650" i="92"/>
  <c r="S656" i="92"/>
  <c r="S638" i="92"/>
  <c r="S630" i="92"/>
  <c r="S652" i="92"/>
  <c r="S624" i="92"/>
  <c r="S644" i="92"/>
  <c r="S633" i="92"/>
  <c r="S616" i="92"/>
  <c r="S600" i="92"/>
  <c r="S584" i="92"/>
  <c r="S170" i="92"/>
  <c r="S155" i="92"/>
  <c r="S615" i="92"/>
  <c r="S599" i="92"/>
  <c r="S583" i="92"/>
  <c r="S173" i="92"/>
  <c r="S154" i="92"/>
  <c r="S172" i="92"/>
  <c r="S157" i="92"/>
  <c r="S610" i="92"/>
  <c r="S582" i="92"/>
  <c r="S617" i="92"/>
  <c r="S601" i="92"/>
  <c r="S585" i="92"/>
  <c r="S144" i="92"/>
  <c r="S614" i="92"/>
  <c r="S578" i="92"/>
  <c r="S156" i="92"/>
  <c r="S175" i="92"/>
  <c r="S167" i="92"/>
  <c r="S575" i="92"/>
  <c r="S411" i="92"/>
  <c r="S402" i="92"/>
  <c r="S406" i="92"/>
  <c r="S415" i="92"/>
  <c r="S401" i="92"/>
  <c r="S384" i="92"/>
  <c r="S375" i="92"/>
  <c r="S397" i="92"/>
  <c r="S396" i="92"/>
  <c r="S395" i="92"/>
  <c r="S393" i="92"/>
  <c r="S377" i="92"/>
  <c r="S353" i="92"/>
  <c r="S292" i="92"/>
  <c r="S281" i="92"/>
  <c r="S354" i="92"/>
  <c r="S294" i="92"/>
  <c r="S663" i="92"/>
  <c r="S649" i="92"/>
  <c r="S660" i="92"/>
  <c r="S632" i="92"/>
  <c r="S627" i="92"/>
  <c r="S654" i="92"/>
  <c r="S604" i="92"/>
  <c r="S174" i="92"/>
  <c r="S619" i="92"/>
  <c r="S587" i="92"/>
  <c r="S158" i="92"/>
  <c r="S161" i="92"/>
  <c r="S586" i="92"/>
  <c r="S605" i="92"/>
  <c r="S178" i="92"/>
  <c r="S590" i="92"/>
  <c r="S152" i="92"/>
  <c r="S573" i="92"/>
  <c r="S403" i="92"/>
  <c r="S400" i="92"/>
  <c r="S383" i="92"/>
  <c r="S373" i="92"/>
  <c r="S371" i="92"/>
  <c r="S202" i="92"/>
  <c r="S90" i="92"/>
  <c r="S259" i="92"/>
  <c r="S201" i="92"/>
  <c r="S234" i="92"/>
  <c r="S250" i="92"/>
  <c r="S210" i="92"/>
  <c r="S255" i="92"/>
  <c r="S196" i="92"/>
  <c r="S264" i="92"/>
  <c r="S205" i="92"/>
  <c r="S219" i="92"/>
  <c r="S129" i="92"/>
  <c r="S102" i="92"/>
  <c r="S117" i="92"/>
  <c r="S120" i="92"/>
  <c r="S91" i="92"/>
  <c r="S75" i="92"/>
  <c r="S57" i="92"/>
  <c r="S81" i="92"/>
  <c r="S63" i="92"/>
  <c r="S86" i="92"/>
  <c r="S12" i="92"/>
  <c r="S21" i="92"/>
  <c r="S9" i="92"/>
  <c r="S15" i="92"/>
  <c r="S52" i="92"/>
  <c r="S13" i="92"/>
  <c r="S269" i="92"/>
  <c r="S224" i="92"/>
  <c r="S132" i="92"/>
  <c r="S38" i="92"/>
  <c r="S260" i="92"/>
  <c r="S213" i="92"/>
  <c r="S245" i="92"/>
  <c r="S258" i="92"/>
  <c r="S204" i="92"/>
  <c r="S262" i="92"/>
  <c r="S191" i="92"/>
  <c r="S195" i="92"/>
  <c r="S182" i="92"/>
  <c r="S241" i="92"/>
  <c r="S119" i="92"/>
  <c r="S103" i="92"/>
  <c r="S101" i="92"/>
  <c r="S107" i="92"/>
  <c r="S68" i="92"/>
  <c r="S69" i="92"/>
  <c r="S56" i="92"/>
  <c r="S58" i="92"/>
  <c r="S80" i="92"/>
  <c r="S5" i="92"/>
  <c r="S31" i="92"/>
  <c r="S315" i="92"/>
  <c r="S369" i="92"/>
  <c r="S328" i="92"/>
  <c r="S358" i="92"/>
  <c r="S307" i="92"/>
  <c r="S343" i="92"/>
  <c r="S283" i="92"/>
  <c r="S666" i="92"/>
  <c r="S662" i="92"/>
  <c r="S640" i="92"/>
  <c r="S658" i="92"/>
  <c r="S629" i="92"/>
  <c r="S620" i="92"/>
  <c r="S588" i="92"/>
  <c r="S159" i="92"/>
  <c r="S603" i="92"/>
  <c r="S177" i="92"/>
  <c r="S176" i="92"/>
  <c r="S138" i="92"/>
  <c r="S621" i="92"/>
  <c r="S589" i="92"/>
  <c r="S618" i="92"/>
  <c r="S171" i="92"/>
  <c r="S146" i="92"/>
  <c r="S410" i="92"/>
  <c r="S414" i="92"/>
  <c r="S409" i="92"/>
  <c r="S392" i="92"/>
  <c r="S374" i="92"/>
  <c r="S372" i="92"/>
  <c r="S378" i="92"/>
  <c r="S39" i="92"/>
  <c r="S220" i="92"/>
  <c r="S108" i="92"/>
  <c r="S232" i="92"/>
  <c r="S216" i="92"/>
  <c r="S198" i="92"/>
  <c r="S266" i="92"/>
  <c r="S192" i="92"/>
  <c r="S230" i="92"/>
  <c r="S135" i="92"/>
  <c r="S257" i="92"/>
  <c r="S133" i="92"/>
  <c r="S246" i="92"/>
  <c r="S93" i="92"/>
  <c r="S95" i="92"/>
  <c r="S122" i="92"/>
  <c r="S106" i="92"/>
  <c r="S92" i="92"/>
  <c r="S87" i="92"/>
  <c r="S66" i="92"/>
  <c r="S88" i="92"/>
  <c r="S72" i="92"/>
  <c r="S54" i="92"/>
  <c r="S36" i="92"/>
  <c r="S25" i="92"/>
  <c r="S17" i="92"/>
  <c r="S22" i="92"/>
  <c r="S30" i="92"/>
  <c r="S265" i="92"/>
  <c r="S218" i="92"/>
  <c r="S276" i="92"/>
  <c r="S305" i="92"/>
  <c r="S645" i="92"/>
  <c r="S628" i="92"/>
  <c r="S625" i="92"/>
  <c r="S166" i="92"/>
  <c r="S579" i="92"/>
  <c r="S153" i="92"/>
  <c r="S597" i="92"/>
  <c r="S143" i="92"/>
  <c r="S413" i="92"/>
  <c r="S376" i="92"/>
  <c r="S387" i="92"/>
  <c r="S248" i="92"/>
  <c r="S243" i="92"/>
  <c r="S185" i="92"/>
  <c r="S228" i="92"/>
  <c r="S214" i="92"/>
  <c r="S111" i="92"/>
  <c r="S97" i="92"/>
  <c r="S94" i="92"/>
  <c r="S96" i="92"/>
  <c r="S59" i="92"/>
  <c r="S27" i="92"/>
  <c r="S48" i="92"/>
  <c r="S267" i="92"/>
  <c r="S136" i="92"/>
  <c r="S84" i="92"/>
  <c r="S42" i="92"/>
  <c r="S199" i="92"/>
  <c r="S197" i="92"/>
  <c r="S217" i="92"/>
  <c r="S256" i="92"/>
  <c r="S200" i="92"/>
  <c r="S238" i="92"/>
  <c r="S251" i="92"/>
  <c r="S110" i="92"/>
  <c r="S116" i="92"/>
  <c r="S51" i="92"/>
  <c r="S55" i="92"/>
  <c r="S49" i="92"/>
  <c r="S78" i="92"/>
  <c r="S37" i="92"/>
  <c r="S24" i="92"/>
  <c r="S18" i="92"/>
  <c r="S314" i="92"/>
  <c r="S361" i="92"/>
  <c r="S306" i="92"/>
  <c r="S368" i="92"/>
  <c r="S641" i="92"/>
  <c r="S639" i="92"/>
  <c r="S612" i="92"/>
  <c r="S151" i="92"/>
  <c r="S169" i="92"/>
  <c r="S598" i="92"/>
  <c r="S581" i="92"/>
  <c r="S142" i="92"/>
  <c r="S405" i="92"/>
  <c r="S390" i="92"/>
  <c r="S386" i="92"/>
  <c r="S239" i="92"/>
  <c r="S113" i="92"/>
  <c r="S261" i="92"/>
  <c r="S252" i="92"/>
  <c r="S225" i="92"/>
  <c r="S268" i="92"/>
  <c r="S242" i="92"/>
  <c r="S100" i="92"/>
  <c r="S109" i="92"/>
  <c r="S79" i="92"/>
  <c r="S89" i="92"/>
  <c r="S85" i="92"/>
  <c r="S32" i="92"/>
  <c r="S34" i="92"/>
  <c r="S43" i="92"/>
  <c r="S263" i="92"/>
  <c r="S226" i="92"/>
  <c r="S134" i="92"/>
  <c r="S83" i="92"/>
  <c r="S41" i="92"/>
  <c r="S254" i="92"/>
  <c r="S188" i="92"/>
  <c r="S184" i="92"/>
  <c r="S193" i="92"/>
  <c r="S249" i="92"/>
  <c r="S186" i="92"/>
  <c r="S233" i="92"/>
  <c r="S208" i="92"/>
  <c r="S105" i="92"/>
  <c r="S123" i="92"/>
  <c r="S53" i="92"/>
  <c r="S73" i="92"/>
  <c r="S74" i="92"/>
  <c r="S10" i="92"/>
  <c r="S35" i="92"/>
  <c r="S23" i="92"/>
  <c r="S16" i="92"/>
  <c r="S350" i="92"/>
  <c r="S336" i="92"/>
  <c r="S356" i="92"/>
  <c r="S319" i="92"/>
  <c r="S659" i="92"/>
  <c r="S648" i="92"/>
  <c r="S646" i="92"/>
  <c r="S596" i="92"/>
  <c r="S611" i="92"/>
  <c r="S150" i="92"/>
  <c r="S179" i="92"/>
  <c r="S141" i="92"/>
  <c r="S160" i="92"/>
  <c r="S407" i="92"/>
  <c r="S389" i="92"/>
  <c r="S394" i="92"/>
  <c r="S194" i="92"/>
  <c r="S99" i="92"/>
  <c r="S240" i="92"/>
  <c r="S222" i="92"/>
  <c r="S187" i="92"/>
  <c r="S189" i="92"/>
  <c r="S207" i="92"/>
  <c r="S183" i="92"/>
  <c r="S115" i="92"/>
  <c r="S104" i="92"/>
  <c r="S98" i="92"/>
  <c r="S70" i="92"/>
  <c r="S77" i="92"/>
  <c r="S3" i="92"/>
  <c r="S4" i="92"/>
  <c r="S50" i="92"/>
  <c r="S221" i="92"/>
  <c r="S130" i="92"/>
  <c r="S44" i="92"/>
  <c r="S247" i="92"/>
  <c r="S253" i="92"/>
  <c r="S236" i="92"/>
  <c r="S235" i="92"/>
  <c r="S203" i="92"/>
  <c r="S244" i="92"/>
  <c r="S211" i="92"/>
  <c r="S125" i="92"/>
  <c r="S127" i="92"/>
  <c r="S118" i="92"/>
  <c r="S82" i="92"/>
  <c r="S47" i="92"/>
  <c r="S71" i="92"/>
  <c r="S76" i="92"/>
  <c r="S8" i="92"/>
  <c r="S33" i="92"/>
  <c r="S28" i="92"/>
  <c r="S20" i="92"/>
  <c r="S14" i="92"/>
  <c r="S320" i="92"/>
  <c r="S286" i="92"/>
  <c r="S653" i="92"/>
  <c r="S636" i="92"/>
  <c r="S635" i="92"/>
  <c r="S580" i="92"/>
  <c r="S595" i="92"/>
  <c r="S168" i="92"/>
  <c r="S613" i="92"/>
  <c r="S606" i="92"/>
  <c r="S574" i="92"/>
  <c r="S398" i="92"/>
  <c r="S388" i="92"/>
  <c r="S212" i="92"/>
  <c r="S223" i="92"/>
  <c r="S131" i="92"/>
  <c r="S126" i="92"/>
  <c r="S270" i="92"/>
  <c r="S237" i="92"/>
  <c r="S124" i="92"/>
  <c r="S45" i="92"/>
  <c r="S61" i="92"/>
  <c r="S67" i="92"/>
  <c r="S40" i="92"/>
  <c r="S7" i="92"/>
  <c r="S19" i="92"/>
  <c r="S271" i="92"/>
  <c r="S128" i="92"/>
  <c r="S46" i="92"/>
  <c r="S227" i="92"/>
  <c r="S209" i="92"/>
  <c r="S229" i="92"/>
  <c r="S215" i="92"/>
  <c r="S206" i="92"/>
  <c r="S231" i="92"/>
  <c r="S190" i="92"/>
  <c r="S114" i="92"/>
  <c r="S121" i="92"/>
  <c r="S112" i="92"/>
  <c r="S65" i="92"/>
  <c r="S64" i="92"/>
  <c r="S62" i="92"/>
  <c r="S60" i="92"/>
  <c r="S6" i="92"/>
  <c r="S29" i="92"/>
  <c r="S26" i="92"/>
  <c r="S11" i="92"/>
  <c r="M399" i="92"/>
  <c r="M404" i="92"/>
  <c r="M406" i="92"/>
  <c r="M374" i="92"/>
  <c r="M403" i="92"/>
  <c r="M397" i="92"/>
  <c r="M396" i="92"/>
  <c r="M394" i="92"/>
  <c r="M401" i="92"/>
  <c r="M408" i="92"/>
  <c r="M376" i="92"/>
  <c r="M415" i="92"/>
  <c r="M375" i="92"/>
  <c r="M398" i="92"/>
  <c r="M388" i="92"/>
  <c r="M405" i="92"/>
  <c r="M387" i="92"/>
  <c r="M378" i="92"/>
  <c r="M377" i="92"/>
  <c r="M411" i="92"/>
  <c r="M391" i="92"/>
  <c r="M395" i="92"/>
  <c r="M382" i="92"/>
  <c r="M371" i="92"/>
  <c r="M381" i="92"/>
  <c r="M402" i="92"/>
  <c r="M393" i="92"/>
  <c r="M392" i="92"/>
  <c r="M380" i="92"/>
  <c r="M372" i="92"/>
  <c r="M410" i="92"/>
  <c r="M400" i="92"/>
  <c r="M407" i="92"/>
  <c r="M390" i="92"/>
  <c r="M389" i="92"/>
  <c r="M409" i="92"/>
  <c r="M379" i="92"/>
  <c r="M412" i="92"/>
  <c r="M385" i="92"/>
  <c r="M383" i="92"/>
  <c r="M373" i="92"/>
  <c r="M413" i="92"/>
  <c r="M384" i="92"/>
  <c r="M414" i="92"/>
  <c r="M386" i="92"/>
  <c r="M2" i="92"/>
  <c r="M663" i="92"/>
  <c r="M666" i="92"/>
  <c r="M649" i="92"/>
  <c r="M660" i="92"/>
  <c r="M623" i="92"/>
  <c r="M640" i="92"/>
  <c r="M632" i="92"/>
  <c r="M664" i="92"/>
  <c r="M629" i="92"/>
  <c r="M635" i="92"/>
  <c r="M633" i="92"/>
  <c r="M619" i="92"/>
  <c r="M603" i="92"/>
  <c r="M587" i="92"/>
  <c r="M177" i="92"/>
  <c r="M158" i="92"/>
  <c r="M614" i="92"/>
  <c r="M598" i="92"/>
  <c r="M582" i="92"/>
  <c r="M172" i="92"/>
  <c r="M157" i="92"/>
  <c r="M166" i="92"/>
  <c r="M151" i="92"/>
  <c r="M137" i="92"/>
  <c r="M584" i="92"/>
  <c r="M167" i="92"/>
  <c r="M152" i="92"/>
  <c r="M616" i="92"/>
  <c r="M588" i="92"/>
  <c r="M146" i="92"/>
  <c r="M138" i="92"/>
  <c r="M601" i="92"/>
  <c r="M605" i="92"/>
  <c r="M577" i="92"/>
  <c r="M665" i="92"/>
  <c r="M655" i="92"/>
  <c r="M645" i="92"/>
  <c r="M642" i="92"/>
  <c r="M638" i="92"/>
  <c r="M628" i="92"/>
  <c r="M637" i="92"/>
  <c r="M627" i="92"/>
  <c r="M639" i="92"/>
  <c r="M607" i="92"/>
  <c r="M583" i="92"/>
  <c r="M169" i="92"/>
  <c r="M618" i="92"/>
  <c r="M594" i="92"/>
  <c r="M179" i="92"/>
  <c r="M161" i="92"/>
  <c r="M163" i="92"/>
  <c r="M144" i="92"/>
  <c r="M592" i="92"/>
  <c r="M164" i="92"/>
  <c r="M140" i="92"/>
  <c r="M604" i="92"/>
  <c r="M613" i="92"/>
  <c r="M139" i="92"/>
  <c r="M621" i="92"/>
  <c r="M148" i="92"/>
  <c r="M659" i="92"/>
  <c r="M651" i="92"/>
  <c r="M656" i="92"/>
  <c r="M654" i="92"/>
  <c r="M634" i="92"/>
  <c r="M650" i="92"/>
  <c r="M622" i="92"/>
  <c r="M652" i="92"/>
  <c r="M615" i="92"/>
  <c r="M595" i="92"/>
  <c r="M180" i="92"/>
  <c r="M154" i="92"/>
  <c r="M606" i="92"/>
  <c r="M586" i="92"/>
  <c r="M168" i="92"/>
  <c r="M174" i="92"/>
  <c r="M155" i="92"/>
  <c r="M600" i="92"/>
  <c r="M175" i="92"/>
  <c r="M156" i="92"/>
  <c r="M612" i="92"/>
  <c r="M181" i="92"/>
  <c r="M581" i="92"/>
  <c r="M585" i="92"/>
  <c r="M178" i="92"/>
  <c r="M661" i="92"/>
  <c r="M643" i="92"/>
  <c r="M636" i="92"/>
  <c r="M641" i="92"/>
  <c r="M631" i="92"/>
  <c r="M579" i="92"/>
  <c r="M610" i="92"/>
  <c r="M176" i="92"/>
  <c r="M159" i="92"/>
  <c r="M142" i="92"/>
  <c r="M620" i="92"/>
  <c r="M597" i="92"/>
  <c r="M589" i="92"/>
  <c r="M45" i="92"/>
  <c r="M21" i="92"/>
  <c r="M36" i="92"/>
  <c r="M34" i="92"/>
  <c r="M19" i="92"/>
  <c r="M27" i="92"/>
  <c r="M44" i="92"/>
  <c r="M5" i="92"/>
  <c r="M33" i="92"/>
  <c r="M35" i="92"/>
  <c r="M653" i="92"/>
  <c r="M658" i="92"/>
  <c r="M626" i="92"/>
  <c r="M624" i="92"/>
  <c r="M599" i="92"/>
  <c r="M162" i="92"/>
  <c r="M590" i="92"/>
  <c r="M153" i="92"/>
  <c r="M141" i="92"/>
  <c r="M160" i="92"/>
  <c r="M580" i="92"/>
  <c r="M617" i="92"/>
  <c r="M32" i="92"/>
  <c r="M15" i="92"/>
  <c r="M13" i="92"/>
  <c r="M40" i="92"/>
  <c r="M7" i="92"/>
  <c r="M647" i="92"/>
  <c r="M644" i="92"/>
  <c r="M591" i="92"/>
  <c r="M578" i="92"/>
  <c r="M596" i="92"/>
  <c r="M147" i="92"/>
  <c r="M12" i="92"/>
  <c r="M25" i="92"/>
  <c r="M22" i="92"/>
  <c r="M38" i="92"/>
  <c r="M8" i="92"/>
  <c r="M31" i="92"/>
  <c r="M23" i="92"/>
  <c r="M648" i="92"/>
  <c r="M662" i="92"/>
  <c r="M173" i="92"/>
  <c r="M165" i="92"/>
  <c r="M171" i="92"/>
  <c r="M593" i="92"/>
  <c r="M43" i="92"/>
  <c r="M9" i="92"/>
  <c r="M46" i="92"/>
  <c r="M6" i="92"/>
  <c r="M29" i="92"/>
  <c r="M28" i="92"/>
  <c r="M20" i="92"/>
  <c r="M14" i="92"/>
  <c r="M646" i="92"/>
  <c r="M625" i="92"/>
  <c r="M150" i="92"/>
  <c r="M170" i="92"/>
  <c r="M143" i="92"/>
  <c r="M145" i="92"/>
  <c r="M39" i="92"/>
  <c r="M4" i="92"/>
  <c r="M17" i="92"/>
  <c r="M42" i="92"/>
  <c r="M37" i="92"/>
  <c r="M26" i="92"/>
  <c r="M11" i="92"/>
  <c r="M18" i="92"/>
  <c r="M657" i="92"/>
  <c r="M630" i="92"/>
  <c r="M611" i="92"/>
  <c r="M602" i="92"/>
  <c r="M149" i="92"/>
  <c r="M608" i="92"/>
  <c r="M609" i="92"/>
  <c r="M3" i="92"/>
  <c r="M30" i="92"/>
  <c r="M41" i="92"/>
  <c r="M10" i="92"/>
  <c r="M24" i="92"/>
  <c r="M16" i="92"/>
  <c r="N315" i="92"/>
  <c r="N312" i="92"/>
  <c r="N309" i="92"/>
  <c r="N308" i="92"/>
  <c r="N296" i="92"/>
  <c r="N280" i="92"/>
  <c r="N302" i="92"/>
  <c r="N277" i="92"/>
  <c r="N298" i="92"/>
  <c r="N273" i="92"/>
  <c r="N285" i="92"/>
  <c r="N306" i="92"/>
  <c r="N290" i="92"/>
  <c r="N658" i="92"/>
  <c r="N642" i="92"/>
  <c r="N626" i="92"/>
  <c r="N657" i="92"/>
  <c r="N641" i="92"/>
  <c r="N625" i="92"/>
  <c r="N640" i="92"/>
  <c r="N663" i="92"/>
  <c r="N631" i="92"/>
  <c r="N636" i="92"/>
  <c r="N651" i="92"/>
  <c r="N615" i="92"/>
  <c r="N599" i="92"/>
  <c r="N583" i="92"/>
  <c r="N610" i="92"/>
  <c r="N594" i="92"/>
  <c r="N578" i="92"/>
  <c r="N597" i="92"/>
  <c r="N612" i="92"/>
  <c r="N580" i="92"/>
  <c r="N593" i="92"/>
  <c r="N616" i="92"/>
  <c r="N314" i="92"/>
  <c r="N310" i="92"/>
  <c r="N304" i="92"/>
  <c r="N284" i="92"/>
  <c r="N293" i="92"/>
  <c r="N305" i="92"/>
  <c r="N282" i="92"/>
  <c r="N283" i="92"/>
  <c r="N278" i="92"/>
  <c r="N662" i="92"/>
  <c r="N638" i="92"/>
  <c r="N665" i="92"/>
  <c r="N645" i="92"/>
  <c r="N664" i="92"/>
  <c r="N624" i="92"/>
  <c r="N639" i="92"/>
  <c r="N628" i="92"/>
  <c r="N635" i="92"/>
  <c r="N603" i="92"/>
  <c r="N579" i="92"/>
  <c r="N602" i="92"/>
  <c r="N582" i="92"/>
  <c r="N589" i="92"/>
  <c r="N596" i="92"/>
  <c r="N601" i="92"/>
  <c r="N584" i="92"/>
  <c r="N402" i="92"/>
  <c r="N410" i="92"/>
  <c r="N407" i="92"/>
  <c r="N398" i="92"/>
  <c r="N404" i="92"/>
  <c r="N256" i="92"/>
  <c r="N271" i="92"/>
  <c r="N391" i="92"/>
  <c r="N374" i="92"/>
  <c r="N381" i="92"/>
  <c r="N395" i="92"/>
  <c r="N269" i="92"/>
  <c r="N237" i="92"/>
  <c r="N378" i="92"/>
  <c r="N244" i="92"/>
  <c r="N385" i="92"/>
  <c r="N251" i="92"/>
  <c r="N392" i="92"/>
  <c r="N258" i="92"/>
  <c r="N375" i="92"/>
  <c r="N263" i="92"/>
  <c r="N246" i="92"/>
  <c r="N262" i="92"/>
  <c r="N520" i="92"/>
  <c r="N516" i="92"/>
  <c r="N512" i="92"/>
  <c r="N508" i="92"/>
  <c r="N504" i="92"/>
  <c r="N500" i="92"/>
  <c r="N496" i="92"/>
  <c r="E496" i="92"/>
  <c r="N492" i="92"/>
  <c r="N488" i="92"/>
  <c r="N484" i="92"/>
  <c r="N480" i="92"/>
  <c r="N311" i="92"/>
  <c r="N292" i="92"/>
  <c r="N272" i="92"/>
  <c r="N286" i="92"/>
  <c r="N289" i="92"/>
  <c r="N299" i="92"/>
  <c r="N279" i="92"/>
  <c r="N274" i="92"/>
  <c r="N650" i="92"/>
  <c r="N630" i="92"/>
  <c r="N653" i="92"/>
  <c r="N633" i="92"/>
  <c r="N648" i="92"/>
  <c r="N655" i="92"/>
  <c r="N660" i="92"/>
  <c r="N627" i="92"/>
  <c r="N611" i="92"/>
  <c r="N591" i="92"/>
  <c r="N614" i="92"/>
  <c r="N590" i="92"/>
  <c r="N613" i="92"/>
  <c r="N620" i="92"/>
  <c r="N617" i="92"/>
  <c r="N577" i="92"/>
  <c r="N600" i="92"/>
  <c r="N408" i="92"/>
  <c r="N400" i="92"/>
  <c r="N414" i="92"/>
  <c r="N405" i="92"/>
  <c r="N233" i="92"/>
  <c r="N389" i="92"/>
  <c r="N396" i="92"/>
  <c r="N241" i="92"/>
  <c r="N240" i="92"/>
  <c r="N231" i="92"/>
  <c r="N379" i="92"/>
  <c r="N253" i="92"/>
  <c r="N394" i="92"/>
  <c r="N260" i="92"/>
  <c r="N228" i="92"/>
  <c r="N267" i="92"/>
  <c r="N235" i="92"/>
  <c r="N376" i="92"/>
  <c r="N242" i="92"/>
  <c r="N249" i="92"/>
  <c r="N380" i="92"/>
  <c r="N230" i="92"/>
  <c r="N522" i="92"/>
  <c r="N518" i="92"/>
  <c r="N514" i="92"/>
  <c r="N510" i="92"/>
  <c r="N506" i="92"/>
  <c r="E506" i="92"/>
  <c r="N502" i="92"/>
  <c r="N498" i="92"/>
  <c r="N494" i="92"/>
  <c r="N490" i="92"/>
  <c r="N316" i="92"/>
  <c r="N276" i="92"/>
  <c r="N303" i="92"/>
  <c r="N281" i="92"/>
  <c r="N654" i="92"/>
  <c r="N661" i="92"/>
  <c r="N656" i="92"/>
  <c r="N623" i="92"/>
  <c r="N619" i="92"/>
  <c r="N618" i="92"/>
  <c r="N621" i="92"/>
  <c r="N588" i="92"/>
  <c r="N608" i="92"/>
  <c r="N401" i="92"/>
  <c r="N399" i="92"/>
  <c r="N234" i="92"/>
  <c r="N247" i="92"/>
  <c r="N264" i="92"/>
  <c r="N387" i="92"/>
  <c r="N229" i="92"/>
  <c r="N236" i="92"/>
  <c r="N243" i="92"/>
  <c r="N250" i="92"/>
  <c r="N239" i="92"/>
  <c r="N517" i="92"/>
  <c r="N509" i="92"/>
  <c r="N501" i="92"/>
  <c r="N493" i="92"/>
  <c r="N486" i="92"/>
  <c r="N481" i="92"/>
  <c r="N300" i="92"/>
  <c r="N291" i="92"/>
  <c r="N301" i="92"/>
  <c r="N297" i="92"/>
  <c r="N634" i="92"/>
  <c r="N637" i="92"/>
  <c r="N652" i="92"/>
  <c r="N659" i="92"/>
  <c r="N595" i="92"/>
  <c r="N598" i="92"/>
  <c r="N581" i="92"/>
  <c r="N585" i="92"/>
  <c r="N409" i="92"/>
  <c r="N413" i="92"/>
  <c r="N232" i="92"/>
  <c r="N265" i="92"/>
  <c r="N255" i="92"/>
  <c r="N261" i="92"/>
  <c r="N268" i="92"/>
  <c r="N377" i="92"/>
  <c r="N384" i="92"/>
  <c r="N257" i="92"/>
  <c r="N238" i="92"/>
  <c r="N521" i="92"/>
  <c r="N513" i="92"/>
  <c r="N505" i="92"/>
  <c r="N497" i="92"/>
  <c r="N489" i="92"/>
  <c r="N483" i="92"/>
  <c r="N288" i="92"/>
  <c r="N294" i="92"/>
  <c r="N622" i="92"/>
  <c r="N647" i="92"/>
  <c r="N587" i="92"/>
  <c r="N604" i="92"/>
  <c r="N415" i="92"/>
  <c r="N373" i="92"/>
  <c r="N388" i="92"/>
  <c r="N252" i="92"/>
  <c r="N266" i="92"/>
  <c r="N270" i="92"/>
  <c r="N511" i="92"/>
  <c r="N495" i="92"/>
  <c r="N482" i="92"/>
  <c r="N108" i="92"/>
  <c r="N131" i="92"/>
  <c r="N122" i="92"/>
  <c r="N111" i="92"/>
  <c r="N102" i="92"/>
  <c r="N93" i="92"/>
  <c r="N92" i="92"/>
  <c r="N136" i="92"/>
  <c r="N128" i="92"/>
  <c r="N127" i="92"/>
  <c r="N119" i="92"/>
  <c r="N112" i="92"/>
  <c r="N103" i="92"/>
  <c r="N275" i="92"/>
  <c r="N666" i="92"/>
  <c r="N629" i="92"/>
  <c r="N643" i="92"/>
  <c r="N586" i="92"/>
  <c r="N592" i="92"/>
  <c r="N411" i="92"/>
  <c r="N412" i="92"/>
  <c r="N390" i="92"/>
  <c r="N245" i="92"/>
  <c r="N259" i="92"/>
  <c r="N248" i="92"/>
  <c r="N519" i="92"/>
  <c r="N503" i="92"/>
  <c r="N487" i="92"/>
  <c r="N135" i="92"/>
  <c r="N126" i="92"/>
  <c r="N117" i="92"/>
  <c r="N106" i="92"/>
  <c r="N97" i="92"/>
  <c r="N96" i="92"/>
  <c r="N132" i="92"/>
  <c r="N123" i="92"/>
  <c r="N116" i="92"/>
  <c r="N107" i="92"/>
  <c r="N646" i="92"/>
  <c r="N607" i="92"/>
  <c r="N406" i="92"/>
  <c r="N371" i="92"/>
  <c r="N383" i="92"/>
  <c r="N507" i="92"/>
  <c r="N479" i="92"/>
  <c r="E479" i="92"/>
  <c r="N113" i="92"/>
  <c r="N124" i="92"/>
  <c r="N104" i="92"/>
  <c r="N94" i="92"/>
  <c r="N134" i="92"/>
  <c r="N118" i="92"/>
  <c r="N101" i="92"/>
  <c r="N313" i="92"/>
  <c r="N287" i="92"/>
  <c r="N632" i="92"/>
  <c r="N605" i="92"/>
  <c r="N372" i="92"/>
  <c r="N393" i="92"/>
  <c r="N523" i="92"/>
  <c r="E523" i="92"/>
  <c r="N491" i="92"/>
  <c r="N133" i="92"/>
  <c r="N115" i="92"/>
  <c r="N95" i="92"/>
  <c r="N125" i="92"/>
  <c r="N110" i="92"/>
  <c r="N295" i="92"/>
  <c r="N609" i="92"/>
  <c r="N403" i="92"/>
  <c r="N227" i="92"/>
  <c r="N485" i="92"/>
  <c r="N109" i="92"/>
  <c r="N649" i="92"/>
  <c r="N382" i="92"/>
  <c r="N254" i="92"/>
  <c r="N99" i="92"/>
  <c r="N100" i="92"/>
  <c r="N121" i="92"/>
  <c r="N644" i="92"/>
  <c r="N397" i="92"/>
  <c r="N515" i="92"/>
  <c r="N129" i="92"/>
  <c r="N98" i="92"/>
  <c r="N130" i="92"/>
  <c r="N114" i="92"/>
  <c r="N307" i="92"/>
  <c r="N606" i="92"/>
  <c r="N386" i="92"/>
  <c r="N499" i="92"/>
  <c r="N120" i="92"/>
  <c r="N105" i="92"/>
  <c r="J43" i="72"/>
  <c r="K22" i="99"/>
  <c r="M22" i="99"/>
  <c r="N22" i="99"/>
  <c r="H9" i="101"/>
  <c r="S23" i="104"/>
  <c r="O75" i="99"/>
  <c r="G22" i="99"/>
  <c r="I25" i="99"/>
  <c r="E22" i="99"/>
  <c r="K25" i="99"/>
  <c r="M25" i="99"/>
  <c r="N25" i="99"/>
  <c r="K9" i="101"/>
  <c r="T23" i="104"/>
  <c r="K12" i="95"/>
  <c r="H12" i="95"/>
  <c r="J9" i="95"/>
  <c r="T20" i="104"/>
  <c r="U20" i="104"/>
  <c r="J12" i="95"/>
  <c r="K9" i="95"/>
  <c r="J32" i="99"/>
  <c r="J31" i="99"/>
  <c r="J83" i="99"/>
  <c r="M83" i="99"/>
  <c r="N83" i="99"/>
  <c r="K82" i="99"/>
  <c r="M82" i="99"/>
  <c r="O82" i="99"/>
  <c r="J66" i="99"/>
  <c r="K15" i="99"/>
  <c r="J22" i="72"/>
  <c r="J13" i="72"/>
  <c r="I13" i="72"/>
  <c r="D10" i="72"/>
  <c r="K22" i="72"/>
  <c r="L9" i="97"/>
  <c r="E497" i="92"/>
  <c r="O92" i="99"/>
  <c r="O14" i="97"/>
  <c r="O12" i="97"/>
  <c r="O9" i="97"/>
  <c r="P14" i="97"/>
  <c r="P12" i="97"/>
  <c r="N12" i="97"/>
  <c r="N9" i="97"/>
  <c r="F9" i="97"/>
  <c r="J34" i="96"/>
  <c r="J70" i="96"/>
  <c r="K56" i="112"/>
  <c r="R3" i="115"/>
  <c r="J9" i="101"/>
  <c r="D9" i="101"/>
  <c r="C107" i="96"/>
  <c r="J56" i="112"/>
  <c r="O95" i="99"/>
  <c r="N95" i="99"/>
  <c r="J33" i="112"/>
  <c r="N90" i="99"/>
  <c r="N93" i="99"/>
  <c r="G16" i="71"/>
  <c r="G10" i="112"/>
  <c r="J70" i="112"/>
  <c r="H56" i="71"/>
  <c r="H53" i="95"/>
  <c r="H23" i="95"/>
  <c r="N24" i="99"/>
  <c r="L21" i="101"/>
  <c r="L9" i="101"/>
  <c r="J84" i="96"/>
  <c r="I10" i="112"/>
  <c r="K84" i="96"/>
  <c r="H84" i="96"/>
  <c r="G10" i="96"/>
  <c r="S18" i="104"/>
  <c r="K33" i="112"/>
  <c r="J13" i="112"/>
  <c r="C91" i="112"/>
  <c r="K70" i="96"/>
  <c r="H70" i="96"/>
  <c r="K95" i="96"/>
  <c r="H95" i="96"/>
  <c r="K13" i="112"/>
  <c r="J14" i="96"/>
  <c r="J13" i="96"/>
  <c r="C105" i="96"/>
  <c r="K14" i="96"/>
  <c r="K13" i="96"/>
  <c r="I13" i="96"/>
  <c r="K34" i="96"/>
  <c r="I34" i="96"/>
  <c r="I10" i="96"/>
  <c r="N109" i="99"/>
  <c r="O73" i="99"/>
  <c r="O100" i="99"/>
  <c r="O182" i="99"/>
  <c r="L182" i="99"/>
  <c r="N76" i="99"/>
  <c r="O76" i="99"/>
  <c r="O58" i="99"/>
  <c r="N99" i="99"/>
  <c r="J95" i="96"/>
  <c r="J81" i="112"/>
  <c r="I9" i="95"/>
  <c r="D9" i="95"/>
  <c r="C72" i="71"/>
  <c r="E512" i="92"/>
  <c r="P87" i="92"/>
  <c r="E504" i="92"/>
  <c r="AD609" i="92"/>
  <c r="E485" i="92"/>
  <c r="E505" i="92"/>
  <c r="P63" i="92"/>
  <c r="E63" i="92"/>
  <c r="E484" i="92"/>
  <c r="E500" i="92"/>
  <c r="P51" i="92"/>
  <c r="E51" i="92"/>
  <c r="AD657" i="92"/>
  <c r="AD653" i="92"/>
  <c r="E513" i="92"/>
  <c r="P126" i="92"/>
  <c r="P108" i="92"/>
  <c r="E108" i="92"/>
  <c r="P654" i="92"/>
  <c r="AD612" i="92"/>
  <c r="AD170" i="92"/>
  <c r="AD33" i="92"/>
  <c r="E499" i="92"/>
  <c r="P35" i="92"/>
  <c r="P113" i="92"/>
  <c r="E113" i="92"/>
  <c r="P664" i="92"/>
  <c r="AD392" i="92"/>
  <c r="AD649" i="92"/>
  <c r="AD34" i="92"/>
  <c r="E503" i="92"/>
  <c r="E502" i="92"/>
  <c r="P80" i="92"/>
  <c r="P635" i="92"/>
  <c r="AD651" i="92"/>
  <c r="E511" i="92"/>
  <c r="E490" i="92"/>
  <c r="E501" i="92"/>
  <c r="E510" i="92"/>
  <c r="E482" i="92"/>
  <c r="E489" i="92"/>
  <c r="E481" i="92"/>
  <c r="E488" i="92"/>
  <c r="E480" i="92"/>
  <c r="P628" i="92"/>
  <c r="P135" i="92"/>
  <c r="P96" i="92"/>
  <c r="E96" i="92"/>
  <c r="E492" i="92"/>
  <c r="E508" i="92"/>
  <c r="W660" i="92"/>
  <c r="E660" i="92"/>
  <c r="W312" i="92"/>
  <c r="E312" i="92"/>
  <c r="W179" i="92"/>
  <c r="E179" i="92"/>
  <c r="W46" i="92"/>
  <c r="W271" i="92"/>
  <c r="E271" i="92"/>
  <c r="W362" i="92"/>
  <c r="E362" i="92"/>
  <c r="W360" i="92"/>
  <c r="E360" i="92"/>
  <c r="W91" i="92"/>
  <c r="W265" i="92"/>
  <c r="E265" i="92"/>
  <c r="W264" i="92"/>
  <c r="E264" i="92"/>
  <c r="W316" i="92"/>
  <c r="E316" i="92"/>
  <c r="W353" i="92"/>
  <c r="E353" i="92"/>
  <c r="W40" i="92"/>
  <c r="E40" i="92"/>
  <c r="W180" i="92"/>
  <c r="E180" i="92"/>
  <c r="W136" i="92"/>
  <c r="W661" i="92"/>
  <c r="E661" i="92"/>
  <c r="W266" i="92"/>
  <c r="E266" i="92"/>
  <c r="W663" i="92"/>
  <c r="W176" i="92"/>
  <c r="E176" i="92"/>
  <c r="W614" i="92"/>
  <c r="E614" i="92"/>
  <c r="W89" i="92"/>
  <c r="W617" i="92"/>
  <c r="E617" i="92"/>
  <c r="W39" i="92"/>
  <c r="E39" i="92"/>
  <c r="W309" i="92"/>
  <c r="E309" i="92"/>
  <c r="W310" i="92"/>
  <c r="E310" i="92"/>
  <c r="W356" i="92"/>
  <c r="E356" i="92"/>
  <c r="W43" i="92"/>
  <c r="W134" i="92"/>
  <c r="W86" i="92"/>
  <c r="W38" i="92"/>
  <c r="E38" i="92"/>
  <c r="W270" i="92"/>
  <c r="E270" i="92"/>
  <c r="W178" i="92"/>
  <c r="E178" i="92"/>
  <c r="W666" i="92"/>
  <c r="W313" i="92"/>
  <c r="E313" i="92"/>
  <c r="W45" i="92"/>
  <c r="W218" i="92"/>
  <c r="E218" i="92"/>
  <c r="W615" i="92"/>
  <c r="E615" i="92"/>
  <c r="W311" i="92"/>
  <c r="E311" i="92"/>
  <c r="W354" i="92"/>
  <c r="E354" i="92"/>
  <c r="W88" i="92"/>
  <c r="W130" i="92"/>
  <c r="E130" i="92"/>
  <c r="W358" i="92"/>
  <c r="E358" i="92"/>
  <c r="W361" i="92"/>
  <c r="E361" i="92"/>
  <c r="AD389" i="92"/>
  <c r="AD165" i="92"/>
  <c r="AD611" i="92"/>
  <c r="AD30" i="92"/>
  <c r="AD655" i="92"/>
  <c r="AD656" i="92"/>
  <c r="AD396" i="92"/>
  <c r="AD608" i="92"/>
  <c r="AD168" i="92"/>
  <c r="AD167" i="92"/>
  <c r="E498" i="92"/>
  <c r="E514" i="92"/>
  <c r="P16" i="92"/>
  <c r="P70" i="92"/>
  <c r="E70" i="92"/>
  <c r="P34" i="92"/>
  <c r="P64" i="92"/>
  <c r="E64" i="92"/>
  <c r="P60" i="92"/>
  <c r="E60" i="92"/>
  <c r="P99" i="92"/>
  <c r="E99" i="92"/>
  <c r="P645" i="92"/>
  <c r="E645" i="92"/>
  <c r="AD391" i="92"/>
  <c r="AD397" i="92"/>
  <c r="AD604" i="92"/>
  <c r="AD29" i="92"/>
  <c r="AD171" i="92"/>
  <c r="AD393" i="92"/>
  <c r="AD166" i="92"/>
  <c r="AD610" i="92"/>
  <c r="AD605" i="92"/>
  <c r="AD394" i="92"/>
  <c r="AD37" i="92"/>
  <c r="E494" i="92"/>
  <c r="AD654" i="92"/>
  <c r="AD606" i="92"/>
  <c r="AD607" i="92"/>
  <c r="P25" i="92"/>
  <c r="E25" i="92"/>
  <c r="P67" i="92"/>
  <c r="E67" i="92"/>
  <c r="P91" i="92"/>
  <c r="E91" i="92"/>
  <c r="P107" i="92"/>
  <c r="E107" i="92"/>
  <c r="P123" i="92"/>
  <c r="P629" i="92"/>
  <c r="P666" i="92"/>
  <c r="AD164" i="92"/>
  <c r="AD652" i="92"/>
  <c r="AD650" i="92"/>
  <c r="AD35" i="92"/>
  <c r="AD169" i="92"/>
  <c r="AD395" i="92"/>
  <c r="AD36" i="92"/>
  <c r="AD32" i="92"/>
  <c r="AD172" i="92"/>
  <c r="AD31" i="92"/>
  <c r="W172" i="92"/>
  <c r="W397" i="92"/>
  <c r="W391" i="92"/>
  <c r="W348" i="92"/>
  <c r="E348" i="92"/>
  <c r="W610" i="92"/>
  <c r="W222" i="92"/>
  <c r="E222" i="92"/>
  <c r="W396" i="92"/>
  <c r="W31" i="92"/>
  <c r="W213" i="92"/>
  <c r="E213" i="92"/>
  <c r="W166" i="92"/>
  <c r="W612" i="92"/>
  <c r="W345" i="92"/>
  <c r="E345" i="92"/>
  <c r="W651" i="92"/>
  <c r="W260" i="92"/>
  <c r="E260" i="92"/>
  <c r="W389" i="92"/>
  <c r="W605" i="92"/>
  <c r="W370" i="92"/>
  <c r="E370" i="92"/>
  <c r="W121" i="92"/>
  <c r="E121" i="92"/>
  <c r="W303" i="92"/>
  <c r="E303" i="92"/>
  <c r="W393" i="92"/>
  <c r="W392" i="92"/>
  <c r="W351" i="92"/>
  <c r="E351" i="92"/>
  <c r="W30" i="92"/>
  <c r="W219" i="92"/>
  <c r="E219" i="92"/>
  <c r="W307" i="92"/>
  <c r="E307" i="92"/>
  <c r="W366" i="92"/>
  <c r="E366" i="92"/>
  <c r="W255" i="92"/>
  <c r="E255" i="92"/>
  <c r="W261" i="92"/>
  <c r="E261" i="92"/>
  <c r="W212" i="92"/>
  <c r="E212" i="92"/>
  <c r="W306" i="92"/>
  <c r="E306" i="92"/>
  <c r="W214" i="92"/>
  <c r="E214" i="92"/>
  <c r="W170" i="92"/>
  <c r="W223" i="92"/>
  <c r="E223" i="92"/>
  <c r="W305" i="92"/>
  <c r="E305" i="92"/>
  <c r="W126" i="92"/>
  <c r="W82" i="92"/>
  <c r="W81" i="92"/>
  <c r="W29" i="92"/>
  <c r="W165" i="92"/>
  <c r="E165" i="92"/>
  <c r="W74" i="92"/>
  <c r="E74" i="92"/>
  <c r="W171" i="92"/>
  <c r="W363" i="92"/>
  <c r="E363" i="92"/>
  <c r="W604" i="92"/>
  <c r="W168" i="92"/>
  <c r="W256" i="92"/>
  <c r="E256" i="92"/>
  <c r="W36" i="92"/>
  <c r="W301" i="92"/>
  <c r="E301" i="92"/>
  <c r="W32" i="92"/>
  <c r="W215" i="92"/>
  <c r="E215" i="92"/>
  <c r="W347" i="92"/>
  <c r="E347" i="92"/>
  <c r="W224" i="92"/>
  <c r="E224" i="92"/>
  <c r="W390" i="92"/>
  <c r="E390" i="92"/>
  <c r="W211" i="92"/>
  <c r="E211" i="92"/>
  <c r="W657" i="92"/>
  <c r="W655" i="92"/>
  <c r="W300" i="92"/>
  <c r="E300" i="92"/>
  <c r="W346" i="92"/>
  <c r="E346" i="92"/>
  <c r="W367" i="92"/>
  <c r="E367" i="92"/>
  <c r="W33" i="92"/>
  <c r="W124" i="92"/>
  <c r="W254" i="92"/>
  <c r="E254" i="92"/>
  <c r="W609" i="92"/>
  <c r="W299" i="92"/>
  <c r="E299" i="92"/>
  <c r="W350" i="92"/>
  <c r="E350" i="92"/>
  <c r="W125" i="92"/>
  <c r="W35" i="92"/>
  <c r="W216" i="92"/>
  <c r="E216" i="92"/>
  <c r="W37" i="92"/>
  <c r="W225" i="92"/>
  <c r="E225" i="92"/>
  <c r="W364" i="92"/>
  <c r="E364" i="92"/>
  <c r="W349" i="92"/>
  <c r="E349" i="92"/>
  <c r="W395" i="92"/>
  <c r="W78" i="92"/>
  <c r="W606" i="92"/>
  <c r="W656" i="92"/>
  <c r="W169" i="92"/>
  <c r="W368" i="92"/>
  <c r="E368" i="92"/>
  <c r="W75" i="92"/>
  <c r="E75" i="92"/>
  <c r="W653" i="92"/>
  <c r="W259" i="92"/>
  <c r="E259" i="92"/>
  <c r="W217" i="92"/>
  <c r="E217" i="92"/>
  <c r="W119" i="92"/>
  <c r="E119" i="92"/>
  <c r="W394" i="92"/>
  <c r="W352" i="92"/>
  <c r="E352" i="92"/>
  <c r="W209" i="92"/>
  <c r="E209" i="92"/>
  <c r="W76" i="92"/>
  <c r="E76" i="92"/>
  <c r="W122" i="92"/>
  <c r="W123" i="92"/>
  <c r="W654" i="92"/>
  <c r="W120" i="92"/>
  <c r="E120" i="92"/>
  <c r="W77" i="92"/>
  <c r="W226" i="92"/>
  <c r="E226" i="92"/>
  <c r="W369" i="92"/>
  <c r="E369" i="92"/>
  <c r="W652" i="92"/>
  <c r="W79" i="92"/>
  <c r="W258" i="92"/>
  <c r="E258" i="92"/>
  <c r="W221" i="92"/>
  <c r="E221" i="92"/>
  <c r="W220" i="92"/>
  <c r="E220" i="92"/>
  <c r="W365" i="92"/>
  <c r="E365" i="92"/>
  <c r="W257" i="92"/>
  <c r="E257" i="92"/>
  <c r="W650" i="92"/>
  <c r="W607" i="92"/>
  <c r="W167" i="92"/>
  <c r="E167" i="92"/>
  <c r="W304" i="92"/>
  <c r="E304" i="92"/>
  <c r="W80" i="92"/>
  <c r="W302" i="92"/>
  <c r="E302" i="92"/>
  <c r="W164" i="92"/>
  <c r="W34" i="92"/>
  <c r="W262" i="92"/>
  <c r="E262" i="92"/>
  <c r="W344" i="92"/>
  <c r="E344" i="92"/>
  <c r="W127" i="92"/>
  <c r="W649" i="92"/>
  <c r="W210" i="92"/>
  <c r="E210" i="92"/>
  <c r="W611" i="92"/>
  <c r="W608" i="92"/>
  <c r="E515" i="92"/>
  <c r="W662" i="92"/>
  <c r="W44" i="92"/>
  <c r="W42" i="92"/>
  <c r="W315" i="92"/>
  <c r="E315" i="92"/>
  <c r="W174" i="92"/>
  <c r="E174" i="92"/>
  <c r="W177" i="92"/>
  <c r="E177" i="92"/>
  <c r="W269" i="92"/>
  <c r="E269" i="92"/>
  <c r="W664" i="92"/>
  <c r="E664" i="92"/>
  <c r="W135" i="92"/>
  <c r="W267" i="92"/>
  <c r="E267" i="92"/>
  <c r="W84" i="92"/>
  <c r="E84" i="92"/>
  <c r="W131" i="92"/>
  <c r="W175" i="92"/>
  <c r="E175" i="92"/>
  <c r="W314" i="92"/>
  <c r="E314" i="92"/>
  <c r="W133" i="92"/>
  <c r="W359" i="92"/>
  <c r="E359" i="92"/>
  <c r="W87" i="92"/>
  <c r="W41" i="92"/>
  <c r="E41" i="92"/>
  <c r="W619" i="92"/>
  <c r="E619" i="92"/>
  <c r="W268" i="92"/>
  <c r="E268" i="92"/>
  <c r="E495" i="92"/>
  <c r="E486" i="92"/>
  <c r="E517" i="92"/>
  <c r="AD400" i="92"/>
  <c r="E400" i="92"/>
  <c r="W616" i="92"/>
  <c r="E616" i="92"/>
  <c r="W355" i="92"/>
  <c r="E355" i="92"/>
  <c r="W621" i="92"/>
  <c r="E621" i="92"/>
  <c r="W658" i="92"/>
  <c r="E658" i="92"/>
  <c r="W357" i="92"/>
  <c r="E357" i="92"/>
  <c r="W85" i="92"/>
  <c r="E85" i="92"/>
  <c r="W90" i="92"/>
  <c r="W263" i="92"/>
  <c r="E263" i="92"/>
  <c r="W128" i="92"/>
  <c r="E128" i="92"/>
  <c r="W181" i="92"/>
  <c r="E181" i="92"/>
  <c r="W129" i="92"/>
  <c r="E129" i="92"/>
  <c r="W132" i="92"/>
  <c r="W665" i="92"/>
  <c r="W173" i="92"/>
  <c r="E173" i="92"/>
  <c r="W618" i="92"/>
  <c r="E618" i="92"/>
  <c r="W83" i="92"/>
  <c r="E83" i="92"/>
  <c r="W620" i="92"/>
  <c r="E620" i="92"/>
  <c r="W613" i="92"/>
  <c r="E613" i="92"/>
  <c r="W659" i="92"/>
  <c r="E659" i="92"/>
  <c r="W308" i="92"/>
  <c r="E308" i="92"/>
  <c r="E483" i="92"/>
  <c r="E516" i="92"/>
  <c r="AD153" i="92"/>
  <c r="E153" i="92"/>
  <c r="E522" i="92"/>
  <c r="AD138" i="92"/>
  <c r="E138" i="92"/>
  <c r="E507" i="92"/>
  <c r="E487" i="92"/>
  <c r="E521" i="92"/>
  <c r="E509" i="92"/>
  <c r="E520" i="92"/>
  <c r="E518" i="92"/>
  <c r="P81" i="92"/>
  <c r="P44" i="92"/>
  <c r="P127" i="92"/>
  <c r="P105" i="92"/>
  <c r="E105" i="92"/>
  <c r="P638" i="92"/>
  <c r="P42" i="92"/>
  <c r="P72" i="92"/>
  <c r="E72" i="92"/>
  <c r="P653" i="92"/>
  <c r="P88" i="92"/>
  <c r="P28" i="92"/>
  <c r="E28" i="92"/>
  <c r="P136" i="92"/>
  <c r="P115" i="92"/>
  <c r="E115" i="92"/>
  <c r="P637" i="92"/>
  <c r="P627" i="92"/>
  <c r="E491" i="92"/>
  <c r="E519" i="92"/>
  <c r="E493" i="92"/>
  <c r="P82" i="92"/>
  <c r="P32" i="92"/>
  <c r="P27" i="92"/>
  <c r="E27" i="92"/>
  <c r="P18" i="92"/>
  <c r="P37" i="92"/>
  <c r="P132" i="92"/>
  <c r="P117" i="92"/>
  <c r="E117" i="92"/>
  <c r="P656" i="92"/>
  <c r="P86" i="92"/>
  <c r="P10" i="92"/>
  <c r="P17" i="92"/>
  <c r="P106" i="92"/>
  <c r="E106" i="92"/>
  <c r="P639" i="92"/>
  <c r="P663" i="92"/>
  <c r="P24" i="92"/>
  <c r="E24" i="92"/>
  <c r="P125" i="92"/>
  <c r="P33" i="92"/>
  <c r="P89" i="92"/>
  <c r="P109" i="92"/>
  <c r="E109" i="92"/>
  <c r="P45" i="92"/>
  <c r="P55" i="92"/>
  <c r="E55" i="92"/>
  <c r="P52" i="92"/>
  <c r="E52" i="92"/>
  <c r="P100" i="92"/>
  <c r="E100" i="92"/>
  <c r="P8" i="92"/>
  <c r="P116" i="92"/>
  <c r="E116" i="92"/>
  <c r="P7" i="92"/>
  <c r="P79" i="92"/>
  <c r="E79" i="92"/>
  <c r="P95" i="92"/>
  <c r="E95" i="92"/>
  <c r="P644" i="92"/>
  <c r="E644" i="92"/>
  <c r="P662" i="92"/>
  <c r="P134" i="92"/>
  <c r="P98" i="92"/>
  <c r="E98" i="92"/>
  <c r="P647" i="92"/>
  <c r="E647" i="92"/>
  <c r="P53" i="92"/>
  <c r="E53" i="92"/>
  <c r="P118" i="92"/>
  <c r="E118" i="92"/>
  <c r="P9" i="92"/>
  <c r="P59" i="92"/>
  <c r="E59" i="92"/>
  <c r="P122" i="92"/>
  <c r="P626" i="92"/>
  <c r="E626" i="92"/>
  <c r="P652" i="92"/>
  <c r="P655" i="92"/>
  <c r="P636" i="92"/>
  <c r="P61" i="92"/>
  <c r="E61" i="92"/>
  <c r="P19" i="92"/>
  <c r="P78" i="92"/>
  <c r="P90" i="92"/>
  <c r="P73" i="92"/>
  <c r="E73" i="92"/>
  <c r="P97" i="92"/>
  <c r="E97" i="92"/>
  <c r="P71" i="92"/>
  <c r="E71" i="92"/>
  <c r="P15" i="92"/>
  <c r="P131" i="92"/>
  <c r="P69" i="92"/>
  <c r="E69" i="92"/>
  <c r="P114" i="92"/>
  <c r="E114" i="92"/>
  <c r="P43" i="92"/>
  <c r="P54" i="92"/>
  <c r="E54" i="92"/>
  <c r="P124" i="92"/>
  <c r="P646" i="92"/>
  <c r="E646" i="92"/>
  <c r="P6" i="92"/>
  <c r="P50" i="92"/>
  <c r="E50" i="92"/>
  <c r="P104" i="92"/>
  <c r="E104" i="92"/>
  <c r="P26" i="92"/>
  <c r="E26" i="92"/>
  <c r="P62" i="92"/>
  <c r="E62" i="92"/>
  <c r="P46" i="92"/>
  <c r="P36" i="92"/>
  <c r="P77" i="92"/>
  <c r="P133" i="92"/>
  <c r="P665" i="92"/>
  <c r="P630" i="92"/>
  <c r="P648" i="92"/>
  <c r="E648" i="92"/>
  <c r="N182" i="99"/>
  <c r="N110" i="99"/>
  <c r="O110" i="99"/>
  <c r="K97" i="99"/>
  <c r="L97" i="99"/>
  <c r="M97" i="99"/>
  <c r="N107" i="99"/>
  <c r="O107" i="99"/>
  <c r="AD149" i="92"/>
  <c r="E149" i="92"/>
  <c r="AD582" i="92"/>
  <c r="E582" i="92"/>
  <c r="AD592" i="92"/>
  <c r="E592" i="92"/>
  <c r="AD4" i="92"/>
  <c r="E4" i="92"/>
  <c r="AD378" i="92"/>
  <c r="E378" i="92"/>
  <c r="AD635" i="92"/>
  <c r="N49" i="99"/>
  <c r="AD412" i="92"/>
  <c r="E412" i="92"/>
  <c r="AD143" i="92"/>
  <c r="E143" i="92"/>
  <c r="AD407" i="92"/>
  <c r="E407" i="92"/>
  <c r="O41" i="99"/>
  <c r="N41" i="99"/>
  <c r="K42" i="99"/>
  <c r="M42" i="99"/>
  <c r="I42" i="99"/>
  <c r="F39" i="99"/>
  <c r="E39" i="99"/>
  <c r="K39" i="99"/>
  <c r="M39" i="99"/>
  <c r="G39" i="99"/>
  <c r="AD16" i="92"/>
  <c r="AD631" i="92"/>
  <c r="E631" i="92"/>
  <c r="AD591" i="92"/>
  <c r="E591" i="92"/>
  <c r="AD624" i="92"/>
  <c r="E624" i="92"/>
  <c r="AD587" i="92"/>
  <c r="E587" i="92"/>
  <c r="AD374" i="92"/>
  <c r="E374" i="92"/>
  <c r="AD629" i="92"/>
  <c r="AD402" i="92"/>
  <c r="E402" i="92"/>
  <c r="AD3" i="92"/>
  <c r="E3" i="92"/>
  <c r="AD414" i="92"/>
  <c r="E414" i="92"/>
  <c r="AD376" i="92"/>
  <c r="E376" i="92"/>
  <c r="AD633" i="92"/>
  <c r="E633" i="92"/>
  <c r="AD579" i="92"/>
  <c r="E579" i="92"/>
  <c r="E338" i="92"/>
  <c r="E248" i="92"/>
  <c r="E272" i="92"/>
  <c r="E388" i="92"/>
  <c r="E252" i="92"/>
  <c r="E160" i="92"/>
  <c r="E251" i="92"/>
  <c r="E237" i="92"/>
  <c r="E282" i="92"/>
  <c r="E273" i="92"/>
  <c r="E280" i="92"/>
  <c r="E326" i="92"/>
  <c r="E207" i="92"/>
  <c r="E208" i="92"/>
  <c r="E335" i="92"/>
  <c r="E342" i="92"/>
  <c r="E227" i="92"/>
  <c r="E250" i="92"/>
  <c r="E230" i="92"/>
  <c r="E231" i="92"/>
  <c r="E279" i="92"/>
  <c r="E297" i="92"/>
  <c r="E298" i="92"/>
  <c r="E341" i="92"/>
  <c r="E575" i="92"/>
  <c r="AD413" i="92"/>
  <c r="E413" i="92"/>
  <c r="AD142" i="92"/>
  <c r="E142" i="92"/>
  <c r="AD19" i="92"/>
  <c r="AD12" i="92"/>
  <c r="E12" i="92"/>
  <c r="AD577" i="92"/>
  <c r="E577" i="92"/>
  <c r="AD377" i="92"/>
  <c r="E377" i="92"/>
  <c r="AD379" i="92"/>
  <c r="E379" i="92"/>
  <c r="AD6" i="92"/>
  <c r="AD140" i="92"/>
  <c r="E140" i="92"/>
  <c r="AD628" i="92"/>
  <c r="AD371" i="92"/>
  <c r="E371" i="92"/>
  <c r="AD15" i="92"/>
  <c r="AD145" i="92"/>
  <c r="E145" i="92"/>
  <c r="AD590" i="92"/>
  <c r="E590" i="92"/>
  <c r="AD637" i="92"/>
  <c r="E245" i="92"/>
  <c r="E294" i="92"/>
  <c r="E238" i="92"/>
  <c r="E232" i="92"/>
  <c r="E236" i="92"/>
  <c r="E247" i="92"/>
  <c r="E249" i="92"/>
  <c r="E253" i="92"/>
  <c r="K65" i="99"/>
  <c r="M65" i="99"/>
  <c r="E241" i="92"/>
  <c r="E289" i="92"/>
  <c r="E244" i="92"/>
  <c r="E278" i="92"/>
  <c r="E293" i="92"/>
  <c r="E277" i="92"/>
  <c r="AD409" i="92"/>
  <c r="E409" i="92"/>
  <c r="AD11" i="92"/>
  <c r="E11" i="92"/>
  <c r="AD585" i="92"/>
  <c r="E585" i="92"/>
  <c r="AD583" i="92"/>
  <c r="E583" i="92"/>
  <c r="AD18" i="92"/>
  <c r="AD594" i="92"/>
  <c r="E594" i="92"/>
  <c r="AD372" i="92"/>
  <c r="E372" i="92"/>
  <c r="AD154" i="92"/>
  <c r="E154" i="92"/>
  <c r="AD586" i="92"/>
  <c r="E586" i="92"/>
  <c r="AD8" i="92"/>
  <c r="AD141" i="92"/>
  <c r="E141" i="92"/>
  <c r="AD630" i="92"/>
  <c r="AD404" i="92"/>
  <c r="E404" i="92"/>
  <c r="AD17" i="92"/>
  <c r="AD13" i="92"/>
  <c r="E13" i="92"/>
  <c r="AD144" i="92"/>
  <c r="E144" i="92"/>
  <c r="AD152" i="92"/>
  <c r="E152" i="92"/>
  <c r="AD632" i="92"/>
  <c r="E632" i="92"/>
  <c r="AD375" i="92"/>
  <c r="E375" i="92"/>
  <c r="AD415" i="92"/>
  <c r="E415" i="92"/>
  <c r="AD408" i="92"/>
  <c r="E408" i="92"/>
  <c r="AD588" i="92"/>
  <c r="E588" i="92"/>
  <c r="AD148" i="92"/>
  <c r="E148" i="92"/>
  <c r="AD638" i="92"/>
  <c r="AD2" i="92"/>
  <c r="E2" i="92"/>
  <c r="E339" i="92"/>
  <c r="E330" i="92"/>
  <c r="AD623" i="92"/>
  <c r="E623" i="92"/>
  <c r="AD7" i="92"/>
  <c r="AD147" i="92"/>
  <c r="E147" i="92"/>
  <c r="AD5" i="92"/>
  <c r="E5" i="92"/>
  <c r="AD399" i="92"/>
  <c r="E399" i="92"/>
  <c r="AD593" i="92"/>
  <c r="E593" i="92"/>
  <c r="AD10" i="92"/>
  <c r="AD137" i="92"/>
  <c r="E137" i="92"/>
  <c r="AD622" i="92"/>
  <c r="E622" i="92"/>
  <c r="AD150" i="92"/>
  <c r="E150" i="92"/>
  <c r="E385" i="92"/>
  <c r="AD580" i="92"/>
  <c r="E580" i="92"/>
  <c r="AD398" i="92"/>
  <c r="E398" i="92"/>
  <c r="AD634" i="92"/>
  <c r="E634" i="92"/>
  <c r="AD578" i="92"/>
  <c r="E578" i="92"/>
  <c r="AD14" i="92"/>
  <c r="E14" i="92"/>
  <c r="AD639" i="92"/>
  <c r="AD9" i="92"/>
  <c r="AD584" i="92"/>
  <c r="E584" i="92"/>
  <c r="AD636" i="92"/>
  <c r="AD373" i="92"/>
  <c r="E373" i="92"/>
  <c r="AD151" i="92"/>
  <c r="E151" i="92"/>
  <c r="AD627" i="92"/>
  <c r="AD411" i="92"/>
  <c r="E411" i="92"/>
  <c r="AD406" i="92"/>
  <c r="E406" i="92"/>
  <c r="AD410" i="92"/>
  <c r="E410" i="92"/>
  <c r="AD146" i="92"/>
  <c r="E146" i="92"/>
  <c r="AD589" i="92"/>
  <c r="E589" i="92"/>
  <c r="AD625" i="92"/>
  <c r="E625" i="92"/>
  <c r="AD403" i="92"/>
  <c r="E403" i="92"/>
  <c r="AD405" i="92"/>
  <c r="E405" i="92"/>
  <c r="AD401" i="92"/>
  <c r="E401" i="92"/>
  <c r="AD139" i="92"/>
  <c r="E139" i="92"/>
  <c r="AD581" i="92"/>
  <c r="E581" i="92"/>
  <c r="E381" i="92"/>
  <c r="E322" i="92"/>
  <c r="E186" i="92"/>
  <c r="E334" i="92"/>
  <c r="E235" i="92"/>
  <c r="E163" i="92"/>
  <c r="E66" i="92"/>
  <c r="E198" i="92"/>
  <c r="E323" i="92"/>
  <c r="E331" i="92"/>
  <c r="E329" i="92"/>
  <c r="E319" i="92"/>
  <c r="E597" i="92"/>
  <c r="E155" i="92"/>
  <c r="E157" i="92"/>
  <c r="E47" i="92"/>
  <c r="E599" i="92"/>
  <c r="E603" i="92"/>
  <c r="E384" i="92"/>
  <c r="E382" i="92"/>
  <c r="E56" i="92"/>
  <c r="E49" i="92"/>
  <c r="E112" i="92"/>
  <c r="E640" i="92"/>
  <c r="E103" i="92"/>
  <c r="E21" i="92"/>
  <c r="E57" i="92"/>
  <c r="E642" i="92"/>
  <c r="E197" i="92"/>
  <c r="E206" i="92"/>
  <c r="E189" i="92"/>
  <c r="E199" i="92"/>
  <c r="E192" i="92"/>
  <c r="E343" i="92"/>
  <c r="E243" i="92"/>
  <c r="E276" i="92"/>
  <c r="E240" i="92"/>
  <c r="E233" i="92"/>
  <c r="E292" i="92"/>
  <c r="E290" i="92"/>
  <c r="E296" i="92"/>
  <c r="E156" i="92"/>
  <c r="E601" i="92"/>
  <c r="E158" i="92"/>
  <c r="E641" i="92"/>
  <c r="E23" i="92"/>
  <c r="E65" i="92"/>
  <c r="E22" i="92"/>
  <c r="E200" i="92"/>
  <c r="E318" i="92"/>
  <c r="E195" i="92"/>
  <c r="E182" i="92"/>
  <c r="E317" i="92"/>
  <c r="E574" i="92"/>
  <c r="E328" i="92"/>
  <c r="E188" i="92"/>
  <c r="E185" i="92"/>
  <c r="E573" i="92"/>
  <c r="E332" i="92"/>
  <c r="E333" i="92"/>
  <c r="E320" i="92"/>
  <c r="E386" i="92"/>
  <c r="E380" i="92"/>
  <c r="E387" i="92"/>
  <c r="E110" i="92"/>
  <c r="E111" i="92"/>
  <c r="E102" i="92"/>
  <c r="E68" i="92"/>
  <c r="E48" i="92"/>
  <c r="E93" i="92"/>
  <c r="E643" i="92"/>
  <c r="E190" i="92"/>
  <c r="E203" i="92"/>
  <c r="E202" i="92"/>
  <c r="E191" i="92"/>
  <c r="E576" i="92"/>
  <c r="E337" i="92"/>
  <c r="E336" i="92"/>
  <c r="E340" i="92"/>
  <c r="E325" i="92"/>
  <c r="E295" i="92"/>
  <c r="E287" i="92"/>
  <c r="E275" i="92"/>
  <c r="E288" i="92"/>
  <c r="E291" i="92"/>
  <c r="E239" i="92"/>
  <c r="E229" i="92"/>
  <c r="E234" i="92"/>
  <c r="E281" i="92"/>
  <c r="E242" i="92"/>
  <c r="E228" i="92"/>
  <c r="E274" i="92"/>
  <c r="E286" i="92"/>
  <c r="E246" i="92"/>
  <c r="E283" i="92"/>
  <c r="E284" i="92"/>
  <c r="E285" i="92"/>
  <c r="E602" i="92"/>
  <c r="E596" i="92"/>
  <c r="E162" i="92"/>
  <c r="E159" i="92"/>
  <c r="E600" i="92"/>
  <c r="E595" i="92"/>
  <c r="E161" i="92"/>
  <c r="E598" i="92"/>
  <c r="E383" i="92"/>
  <c r="E20" i="92"/>
  <c r="E101" i="92"/>
  <c r="E92" i="92"/>
  <c r="E58" i="92"/>
  <c r="E94" i="92"/>
  <c r="E205" i="92"/>
  <c r="E324" i="92"/>
  <c r="E193" i="92"/>
  <c r="E187" i="92"/>
  <c r="E184" i="92"/>
  <c r="E183" i="92"/>
  <c r="E201" i="92"/>
  <c r="E194" i="92"/>
  <c r="E204" i="92"/>
  <c r="E196" i="92"/>
  <c r="E321" i="92"/>
  <c r="E327" i="92"/>
  <c r="U23" i="104"/>
  <c r="O22" i="99"/>
  <c r="H9" i="95"/>
  <c r="G30" i="71"/>
  <c r="I30" i="71"/>
  <c r="J30" i="71"/>
  <c r="N30" i="71"/>
  <c r="N12" i="71"/>
  <c r="C70" i="71"/>
  <c r="V5" i="115"/>
  <c r="I13" i="101"/>
  <c r="O25" i="99"/>
  <c r="E78" i="92"/>
  <c r="E124" i="92"/>
  <c r="E31" i="92"/>
  <c r="E397" i="92"/>
  <c r="K30" i="71"/>
  <c r="I16" i="71"/>
  <c r="G12" i="71"/>
  <c r="G9" i="71"/>
  <c r="E164" i="92"/>
  <c r="E392" i="92"/>
  <c r="J10" i="72"/>
  <c r="T19" i="104"/>
  <c r="U19" i="104"/>
  <c r="K10" i="72"/>
  <c r="H10" i="72"/>
  <c r="K13" i="72"/>
  <c r="H13" i="72"/>
  <c r="E123" i="92"/>
  <c r="E395" i="92"/>
  <c r="E650" i="92"/>
  <c r="E606" i="92"/>
  <c r="E171" i="92"/>
  <c r="K31" i="99"/>
  <c r="M31" i="99"/>
  <c r="O31" i="99"/>
  <c r="K14" i="99"/>
  <c r="M14" i="99"/>
  <c r="N14" i="99"/>
  <c r="P9" i="97"/>
  <c r="M9" i="97"/>
  <c r="M12" i="97"/>
  <c r="K32" i="99"/>
  <c r="M32" i="99"/>
  <c r="O32" i="99"/>
  <c r="K10" i="112"/>
  <c r="H10" i="112"/>
  <c r="N82" i="99"/>
  <c r="N80" i="99"/>
  <c r="H34" i="96"/>
  <c r="C92" i="112"/>
  <c r="C94" i="112"/>
  <c r="C95" i="112"/>
  <c r="E604" i="92"/>
  <c r="K48" i="99"/>
  <c r="K46" i="99"/>
  <c r="O83" i="99"/>
  <c r="O80" i="99"/>
  <c r="K80" i="99"/>
  <c r="L80" i="99"/>
  <c r="M80" i="99"/>
  <c r="E35" i="92"/>
  <c r="E87" i="92"/>
  <c r="E654" i="92"/>
  <c r="J10" i="112"/>
  <c r="I9" i="101"/>
  <c r="H13" i="96"/>
  <c r="D10" i="96"/>
  <c r="J10" i="96"/>
  <c r="T18" i="104"/>
  <c r="U18" i="104"/>
  <c r="C106" i="96"/>
  <c r="C108" i="96"/>
  <c r="C109" i="96"/>
  <c r="K10" i="96"/>
  <c r="H10" i="96"/>
  <c r="O97" i="99"/>
  <c r="K66" i="99"/>
  <c r="N65" i="99"/>
  <c r="O65" i="99"/>
  <c r="N97" i="99"/>
  <c r="E653" i="92"/>
  <c r="E612" i="92"/>
  <c r="E609" i="92"/>
  <c r="E80" i="92"/>
  <c r="E649" i="92"/>
  <c r="E126" i="92"/>
  <c r="E657" i="92"/>
  <c r="E635" i="92"/>
  <c r="E651" i="92"/>
  <c r="E17" i="92"/>
  <c r="E656" i="92"/>
  <c r="E169" i="92"/>
  <c r="E170" i="92"/>
  <c r="E44" i="92"/>
  <c r="E607" i="92"/>
  <c r="E166" i="92"/>
  <c r="E29" i="92"/>
  <c r="E34" i="92"/>
  <c r="E611" i="92"/>
  <c r="E628" i="92"/>
  <c r="E131" i="92"/>
  <c r="E42" i="92"/>
  <c r="E9" i="92"/>
  <c r="E8" i="92"/>
  <c r="E89" i="92"/>
  <c r="E666" i="92"/>
  <c r="E389" i="92"/>
  <c r="E86" i="92"/>
  <c r="E135" i="92"/>
  <c r="E610" i="92"/>
  <c r="E172" i="92"/>
  <c r="E391" i="92"/>
  <c r="E608" i="92"/>
  <c r="E30" i="92"/>
  <c r="E396" i="92"/>
  <c r="E629" i="92"/>
  <c r="E43" i="92"/>
  <c r="E663" i="92"/>
  <c r="E136" i="92"/>
  <c r="E393" i="92"/>
  <c r="E7" i="92"/>
  <c r="E627" i="92"/>
  <c r="E6" i="92"/>
  <c r="E16" i="92"/>
  <c r="E36" i="92"/>
  <c r="E652" i="92"/>
  <c r="E45" i="92"/>
  <c r="E125" i="92"/>
  <c r="E88" i="92"/>
  <c r="E81" i="92"/>
  <c r="E37" i="92"/>
  <c r="E32" i="92"/>
  <c r="E168" i="92"/>
  <c r="E82" i="92"/>
  <c r="E605" i="92"/>
  <c r="E636" i="92"/>
  <c r="E665" i="92"/>
  <c r="E46" i="92"/>
  <c r="E134" i="92"/>
  <c r="E77" i="92"/>
  <c r="E394" i="92"/>
  <c r="E655" i="92"/>
  <c r="E133" i="92"/>
  <c r="E90" i="92"/>
  <c r="E122" i="92"/>
  <c r="E662" i="92"/>
  <c r="E132" i="92"/>
  <c r="E127" i="92"/>
  <c r="E33" i="92"/>
  <c r="E18" i="92"/>
  <c r="E638" i="92"/>
  <c r="E630" i="92"/>
  <c r="E637" i="92"/>
  <c r="E19" i="92"/>
  <c r="E15" i="92"/>
  <c r="E639" i="92"/>
  <c r="E10" i="92"/>
  <c r="N42" i="99"/>
  <c r="O42" i="99"/>
  <c r="O39" i="99"/>
  <c r="N39" i="99"/>
  <c r="K16" i="71"/>
  <c r="J16" i="71"/>
  <c r="I12" i="71"/>
  <c r="I9" i="71"/>
  <c r="N31" i="99"/>
  <c r="M15" i="99"/>
  <c r="O14" i="99"/>
  <c r="M29" i="99"/>
  <c r="K29" i="99"/>
  <c r="L29" i="99"/>
  <c r="N32" i="99"/>
  <c r="M48" i="99"/>
  <c r="M46" i="99"/>
  <c r="M66" i="99"/>
  <c r="K63" i="99"/>
  <c r="L63" i="99"/>
  <c r="O29" i="99"/>
  <c r="D9" i="71"/>
  <c r="M16" i="71"/>
  <c r="M12" i="71"/>
  <c r="C69" i="71"/>
  <c r="J12" i="71"/>
  <c r="J9" i="71"/>
  <c r="K12" i="71"/>
  <c r="H12" i="71"/>
  <c r="K9" i="71"/>
  <c r="H9" i="71"/>
  <c r="N29" i="99"/>
  <c r="O15" i="99"/>
  <c r="N15" i="99"/>
  <c r="N48" i="99"/>
  <c r="N46" i="99"/>
  <c r="O48" i="99"/>
  <c r="O46" i="99"/>
  <c r="L46" i="99"/>
  <c r="O66" i="99"/>
  <c r="O63" i="99"/>
  <c r="N66" i="99"/>
  <c r="N63" i="99"/>
  <c r="M63" i="99"/>
  <c r="J27" i="99"/>
  <c r="K27" i="99"/>
  <c r="M27" i="99"/>
  <c r="K12" i="99"/>
  <c r="K9" i="99"/>
  <c r="S16" i="104"/>
  <c r="S28" i="104"/>
  <c r="N27" i="99"/>
  <c r="N12" i="99"/>
  <c r="N9" i="99"/>
  <c r="T16" i="104"/>
  <c r="O27" i="99"/>
  <c r="O12" i="99"/>
  <c r="O9" i="99"/>
  <c r="M12" i="99"/>
  <c r="M9" i="99"/>
  <c r="D9" i="99"/>
  <c r="L12" i="99"/>
  <c r="T28" i="104"/>
  <c r="U28" i="104"/>
  <c r="U16" i="104"/>
  <c r="K12" i="104"/>
  <c r="D3" i="109"/>
  <c r="D9" i="109"/>
  <c r="D43" i="109"/>
  <c r="N12" i="104"/>
  <c r="L9" i="99"/>
  <c r="O12" i="104"/>
  <c r="L12" i="104"/>
  <c r="M12" i="104"/>
  <c r="AQ80" i="90"/>
  <c r="AQ73" i="90"/>
  <c r="AQ81" i="90"/>
  <c r="AQ82" i="90"/>
  <c r="AQ75" i="90"/>
  <c r="AQ76" i="90"/>
  <c r="AQ77" i="90"/>
  <c r="AQ78" i="90"/>
  <c r="AQ74" i="90"/>
  <c r="AQ79" i="9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D13" authorId="0" shapeId="0" xr:uid="{00000000-0006-0000-0A00-000001000000}">
      <text>
        <r>
          <rPr>
            <b/>
            <sz val="9"/>
            <color indexed="81"/>
            <rFont val="Tahoma"/>
            <family val="2"/>
          </rPr>
          <t>Simon Still:</t>
        </r>
        <r>
          <rPr>
            <sz val="9"/>
            <color indexed="81"/>
            <rFont val="Tahoma"/>
            <family val="2"/>
          </rPr>
          <t xml:space="preserve">
This will contain the following: MU6+AO4 - these, in combination, send signals to the VAV dampers (4 max) as well as the 0-10V signal for the extract fan. MW1 - This is the main PLC in the system which contains all of the logic and includes a DI5 &amp; DO6. It is present in all LHC-2 systems but in MARVELs case it also replaces the calculator and the auxilliary alarm controller. There may be either 1 or 2  MW1s depending on whether Aerolys is present. Edge - This is the "router" which contains the SIM card and attaches to the antenna. Antenna - present for recieveing a 4G signal to the Edge. Network Switch - This marshalls communications between the HMI, Edge, MW1s. HMI - This is the touchscreen. There are also various electrical sundries such as a 24VDC power supply, ethernet cables etc. Full list of these can be found on the BOM held by Steve Kembrey.</t>
        </r>
      </text>
    </comment>
    <comment ref="D24" authorId="0" shapeId="0" xr:uid="{00000000-0006-0000-0A00-000002000000}">
      <text>
        <r>
          <rPr>
            <b/>
            <u/>
            <sz val="8"/>
            <color indexed="81"/>
            <rFont val="Tahoma"/>
            <family val="2"/>
          </rPr>
          <t>Supervisor:</t>
        </r>
        <r>
          <rPr>
            <b/>
            <sz val="8"/>
            <color indexed="81"/>
            <rFont val="Tahoma"/>
            <family val="2"/>
          </rPr>
          <t xml:space="preserve">
</t>
        </r>
        <r>
          <rPr>
            <sz val="8"/>
            <color indexed="81"/>
            <rFont val="Tahoma"/>
            <family val="2"/>
          </rPr>
          <t xml:space="preserve">Monitors canopy section. </t>
        </r>
        <r>
          <rPr>
            <b/>
            <sz val="8"/>
            <color indexed="81"/>
            <rFont val="Tahoma"/>
            <family val="2"/>
          </rPr>
          <t>Ref: LHC-2-MU1+VV1 (Not required if UV quoted as already in UV cost)</t>
        </r>
      </text>
    </comment>
    <comment ref="D25" authorId="0" shapeId="0" xr:uid="{00000000-0006-0000-0A00-000003000000}">
      <text>
        <r>
          <rPr>
            <b/>
            <u/>
            <sz val="8"/>
            <color indexed="81"/>
            <rFont val="Tahoma"/>
            <family val="2"/>
          </rPr>
          <t>ICM Cable:</t>
        </r>
        <r>
          <rPr>
            <sz val="8"/>
            <color indexed="81"/>
            <rFont val="Tahoma"/>
            <family val="2"/>
          </rPr>
          <t xml:space="preserve">
Supervisor connection cable. </t>
        </r>
        <r>
          <rPr>
            <b/>
            <sz val="8"/>
            <color indexed="81"/>
            <rFont val="Tahoma"/>
            <family val="2"/>
          </rPr>
          <t>(Not requied if UV quoted as already in UV cost)</t>
        </r>
      </text>
    </comment>
    <comment ref="D26" authorId="0" shapeId="0" xr:uid="{6791F53F-E444-4243-92E4-55A67E90EF3C}">
      <text>
        <r>
          <rPr>
            <b/>
            <sz val="9"/>
            <color indexed="81"/>
            <rFont val="Tahoma"/>
            <family val="2"/>
          </rPr>
          <t>Simon Still:</t>
        </r>
        <r>
          <rPr>
            <sz val="9"/>
            <color indexed="81"/>
            <rFont val="Tahoma"/>
            <family val="2"/>
          </rPr>
          <t xml:space="preserve">
Includes NTC-7 (RCL-375) + D02 + Alarm Buzzer and wider Ballast tray</t>
        </r>
      </text>
    </comment>
    <comment ref="D27" authorId="0" shapeId="0" xr:uid="{00000000-0006-0000-0A00-000005000000}">
      <text>
        <r>
          <rPr>
            <b/>
            <sz val="8"/>
            <color indexed="81"/>
            <rFont val="Tahoma"/>
            <family val="2"/>
          </rPr>
          <t>NTC Sensor:</t>
        </r>
        <r>
          <rPr>
            <sz val="8"/>
            <color indexed="81"/>
            <rFont val="Tahoma"/>
            <family val="2"/>
          </rPr>
          <t xml:space="preserve">
Temperature Sensor - measures plenum temp.</t>
        </r>
        <r>
          <rPr>
            <b/>
            <sz val="8"/>
            <color indexed="81"/>
            <rFont val="Tahoma"/>
            <family val="2"/>
          </rPr>
          <t xml:space="preserve"> (Not Needed with Firewatch)</t>
        </r>
        <r>
          <rPr>
            <sz val="8"/>
            <color indexed="81"/>
            <rFont val="Tahoma"/>
            <family val="2"/>
          </rPr>
          <t xml:space="preserve">
</t>
        </r>
      </text>
    </comment>
    <comment ref="D28" authorId="0" shapeId="0" xr:uid="{00000000-0006-0000-0A00-000006000000}">
      <text>
        <r>
          <rPr>
            <b/>
            <u/>
            <sz val="8"/>
            <color indexed="81"/>
            <rFont val="Tahoma"/>
            <family val="2"/>
          </rPr>
          <t>Infra Red Sensor:</t>
        </r>
        <r>
          <rPr>
            <sz val="8"/>
            <color indexed="81"/>
            <rFont val="Tahoma"/>
            <family val="2"/>
          </rPr>
          <t xml:space="preserve">
maximum centres are 1.2m or 1no per piece of equipment or 4no maximum per section of canopy</t>
        </r>
      </text>
    </comment>
    <comment ref="D29" authorId="0" shapeId="0" xr:uid="{00000000-0006-0000-0A00-000007000000}">
      <text>
        <r>
          <rPr>
            <b/>
            <u/>
            <sz val="8"/>
            <color indexed="81"/>
            <rFont val="Tahoma"/>
            <family val="2"/>
          </rPr>
          <t>Motorised Damper:</t>
        </r>
        <r>
          <rPr>
            <sz val="8"/>
            <color indexed="81"/>
            <rFont val="Tahoma"/>
            <family val="2"/>
          </rPr>
          <t xml:space="preserve">
Actuated Blade Damper </t>
        </r>
        <r>
          <rPr>
            <b/>
            <sz val="8"/>
            <color indexed="81"/>
            <rFont val="Tahoma"/>
            <family val="2"/>
          </rPr>
          <t>(ABD)</t>
        </r>
        <r>
          <rPr>
            <sz val="8"/>
            <color indexed="81"/>
            <rFont val="Tahoma"/>
            <family val="2"/>
          </rPr>
          <t xml:space="preserve"> two standard sizes 400x300mm or 600x300mm both 65mm high supplied by SK Sales (Slim Fit range)</t>
        </r>
      </text>
    </comment>
    <comment ref="D30" authorId="0" shapeId="0" xr:uid="{00000000-0006-0000-0A00-000008000000}">
      <text>
        <r>
          <rPr>
            <b/>
            <u/>
            <sz val="8"/>
            <color indexed="81"/>
            <rFont val="Tahoma"/>
            <family val="2"/>
          </rPr>
          <t>HFA Circular Damper:</t>
        </r>
        <r>
          <rPr>
            <sz val="8"/>
            <color indexed="81"/>
            <rFont val="Tahoma"/>
            <family val="2"/>
          </rPr>
          <t xml:space="preserve">
To extract at a </t>
        </r>
        <r>
          <rPr>
            <u/>
            <sz val="8"/>
            <color indexed="81"/>
            <rFont val="Tahoma"/>
            <family val="2"/>
          </rPr>
          <t xml:space="preserve">variable </t>
        </r>
        <r>
          <rPr>
            <b/>
            <u/>
            <sz val="8"/>
            <color indexed="81"/>
            <rFont val="Tahoma"/>
            <family val="2"/>
          </rPr>
          <t>(VAV)</t>
        </r>
        <r>
          <rPr>
            <sz val="8"/>
            <color indexed="81"/>
            <rFont val="Tahoma"/>
            <family val="2"/>
          </rPr>
          <t xml:space="preserve"> or </t>
        </r>
        <r>
          <rPr>
            <u/>
            <sz val="8"/>
            <color indexed="81"/>
            <rFont val="Tahoma"/>
            <family val="2"/>
          </rPr>
          <t>constant</t>
        </r>
        <r>
          <rPr>
            <b/>
            <u/>
            <sz val="8"/>
            <color indexed="81"/>
            <rFont val="Tahoma"/>
            <family val="2"/>
          </rPr>
          <t xml:space="preserve"> (CAV)</t>
        </r>
        <r>
          <rPr>
            <sz val="8"/>
            <color indexed="81"/>
            <rFont val="Tahoma"/>
            <family val="2"/>
          </rPr>
          <t xml:space="preserve"> airflow volume if not a dedicated extract fan, has its own power supply and settings and can be connected to the calculator</t>
        </r>
      </text>
    </comment>
    <comment ref="D31" authorId="0" shapeId="0" xr:uid="{00000000-0006-0000-0A00-000009000000}">
      <text>
        <r>
          <rPr>
            <b/>
            <u/>
            <sz val="8"/>
            <color indexed="81"/>
            <rFont val="Tahoma"/>
            <family val="2"/>
          </rPr>
          <t>HFR Rectangular Damper:</t>
        </r>
        <r>
          <rPr>
            <b/>
            <sz val="8"/>
            <color indexed="81"/>
            <rFont val="Tahoma"/>
            <family val="2"/>
          </rPr>
          <t xml:space="preserve">
</t>
        </r>
        <r>
          <rPr>
            <sz val="8"/>
            <color indexed="81"/>
            <rFont val="Tahoma"/>
            <family val="2"/>
          </rPr>
          <t xml:space="preserve">To extract at a variable </t>
        </r>
        <r>
          <rPr>
            <b/>
            <sz val="8"/>
            <color indexed="81"/>
            <rFont val="Tahoma"/>
            <family val="2"/>
          </rPr>
          <t>(VAV)</t>
        </r>
        <r>
          <rPr>
            <sz val="8"/>
            <color indexed="81"/>
            <rFont val="Tahoma"/>
            <family val="2"/>
          </rPr>
          <t xml:space="preserve"> or constant </t>
        </r>
        <r>
          <rPr>
            <b/>
            <sz val="8"/>
            <color indexed="81"/>
            <rFont val="Tahoma"/>
            <family val="2"/>
          </rPr>
          <t>(CAV)</t>
        </r>
        <r>
          <rPr>
            <sz val="8"/>
            <color indexed="81"/>
            <rFont val="Tahoma"/>
            <family val="2"/>
          </rPr>
          <t xml:space="preserve"> airflow volume if not a dedicated extract fan, has its own power supply and settings and can be connected to the calculator</t>
        </r>
      </text>
    </comment>
    <comment ref="D34" authorId="0" shapeId="0" xr:uid="{00000000-0006-0000-0A00-00000A000000}">
      <text>
        <r>
          <rPr>
            <b/>
            <u/>
            <sz val="8"/>
            <color indexed="81"/>
            <rFont val="Tahoma"/>
            <family val="2"/>
          </rPr>
          <t>BELIMO TYPE DAMPER:</t>
        </r>
        <r>
          <rPr>
            <sz val="8"/>
            <color indexed="81"/>
            <rFont val="Tahoma"/>
            <family val="2"/>
          </rPr>
          <t xml:space="preserve">
1no to be allowed for each extract spigot</t>
        </r>
      </text>
    </comment>
    <comment ref="D37" authorId="0" shapeId="0" xr:uid="{5B13F984-B3FA-486B-9191-0C240D9BE71F}">
      <text>
        <r>
          <rPr>
            <b/>
            <sz val="9"/>
            <color indexed="81"/>
            <rFont val="Tahoma"/>
            <family val="2"/>
          </rPr>
          <t>HFA Circular Damper:</t>
        </r>
        <r>
          <rPr>
            <sz val="9"/>
            <color indexed="81"/>
            <rFont val="Tahoma"/>
            <family val="2"/>
          </rPr>
          <t xml:space="preserve">
To suppy at a variable (VAV) or constant (CAV) airflow volume if not a dedicated supply fan, has its own power supply and settings and can be connected to the calculator</t>
        </r>
      </text>
    </comment>
    <comment ref="D45" authorId="0" shapeId="0" xr:uid="{00000000-0006-0000-0A00-00000D000000}">
      <text>
        <r>
          <rPr>
            <b/>
            <u/>
            <sz val="8"/>
            <color indexed="81"/>
            <rFont val="Tahoma"/>
            <family val="2"/>
          </rPr>
          <t>UKV Rectangular Main Duct Damper:</t>
        </r>
        <r>
          <rPr>
            <sz val="8"/>
            <color indexed="81"/>
            <rFont val="Tahoma"/>
            <family val="2"/>
          </rPr>
          <t xml:space="preserve">
500mm x 400mm x 600mm </t>
        </r>
        <r>
          <rPr>
            <b/>
            <sz val="8"/>
            <color indexed="81"/>
            <rFont val="Tahoma"/>
            <family val="2"/>
          </rPr>
          <t xml:space="preserve">(W x H x L) </t>
        </r>
        <r>
          <rPr>
            <sz val="8"/>
            <color indexed="81"/>
            <rFont val="Tahoma"/>
            <family val="2"/>
          </rPr>
          <t>to be used in the main extract duct and connected to the calculator if access to main extract fan is unavailable</t>
        </r>
      </text>
    </comment>
    <comment ref="D46" authorId="0" shapeId="0" xr:uid="{00000000-0006-0000-0A00-00000E000000}">
      <text>
        <r>
          <rPr>
            <b/>
            <u/>
            <sz val="8"/>
            <color indexed="81"/>
            <rFont val="Tahoma"/>
            <family val="2"/>
          </rPr>
          <t>UKV Rectangular Main Duct Damper:</t>
        </r>
        <r>
          <rPr>
            <sz val="8"/>
            <color indexed="81"/>
            <rFont val="Tahoma"/>
            <family val="2"/>
          </rPr>
          <t xml:space="preserve">
600mm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7" authorId="0" shapeId="0" xr:uid="{00000000-0006-0000-0A00-00000F000000}">
      <text>
        <r>
          <rPr>
            <b/>
            <u/>
            <sz val="8"/>
            <color indexed="81"/>
            <rFont val="Tahoma"/>
            <family val="2"/>
          </rPr>
          <t>UKV Rectangular Main Duct Damper:</t>
        </r>
        <r>
          <rPr>
            <sz val="8"/>
            <color indexed="81"/>
            <rFont val="Tahoma"/>
            <family val="2"/>
          </rPr>
          <t xml:space="preserve">
700mm x 400mm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48" authorId="0" shapeId="0" xr:uid="{00000000-0006-0000-0A00-000010000000}">
      <text>
        <r>
          <rPr>
            <b/>
            <u/>
            <sz val="8"/>
            <color indexed="81"/>
            <rFont val="Tahoma"/>
            <family val="2"/>
          </rPr>
          <t>UKV Rectangular Main Duct Damper:</t>
        </r>
        <r>
          <rPr>
            <sz val="9"/>
            <color indexed="81"/>
            <rFont val="Tahoma"/>
            <family val="2"/>
          </rPr>
          <t xml:space="preserve">
8</t>
        </r>
        <r>
          <rPr>
            <sz val="8"/>
            <color indexed="81"/>
            <rFont val="Tahoma"/>
            <family val="2"/>
          </rPr>
          <t xml:space="preserve">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t>
        </r>
        <r>
          <rPr>
            <sz val="9"/>
            <color indexed="81"/>
            <rFont val="Tahoma"/>
            <family val="2"/>
          </rPr>
          <t xml:space="preserve"> is unavailable</t>
        </r>
      </text>
    </comment>
    <comment ref="D49" authorId="0" shapeId="0" xr:uid="{00000000-0006-0000-0A00-000011000000}">
      <text>
        <r>
          <rPr>
            <b/>
            <u/>
            <sz val="9"/>
            <color indexed="81"/>
            <rFont val="Tahoma"/>
            <family val="2"/>
          </rPr>
          <t>UKV Rectangular Main Duct Damper:</t>
        </r>
        <r>
          <rPr>
            <sz val="9"/>
            <color indexed="81"/>
            <rFont val="Tahoma"/>
            <family val="2"/>
          </rPr>
          <t xml:space="preserve">
</t>
        </r>
        <r>
          <rPr>
            <sz val="8"/>
            <color indexed="81"/>
            <rFont val="Tahoma"/>
            <family val="2"/>
          </rPr>
          <t xml:space="preserve">1000mm x 500mm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0" authorId="0" shapeId="0" xr:uid="{00000000-0006-0000-0A00-000012000000}">
      <text>
        <r>
          <rPr>
            <b/>
            <u/>
            <sz val="8"/>
            <color indexed="81"/>
            <rFont val="Tahoma"/>
            <family val="2"/>
          </rPr>
          <t>UKV Rectangular Main Duct Damper:</t>
        </r>
        <r>
          <rPr>
            <sz val="8"/>
            <color indexed="81"/>
            <rFont val="Tahoma"/>
            <family val="2"/>
          </rPr>
          <t xml:space="preserve">
1000mm x 800mm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1" authorId="0" shapeId="0" xr:uid="{00000000-0006-0000-0A00-000013000000}">
      <text>
        <r>
          <rPr>
            <b/>
            <u/>
            <sz val="8"/>
            <color indexed="81"/>
            <rFont val="Tahoma"/>
            <family val="2"/>
          </rPr>
          <t>UKV Rectangular Main Duct Damper:</t>
        </r>
        <r>
          <rPr>
            <sz val="8"/>
            <color indexed="81"/>
            <rFont val="Tahoma"/>
            <family val="2"/>
          </rPr>
          <t xml:space="preserve">
1000mm x 1000mm x 600mm </t>
        </r>
        <r>
          <rPr>
            <b/>
            <sz val="8"/>
            <color indexed="81"/>
            <rFont val="Tahoma"/>
            <family val="2"/>
          </rPr>
          <t>(W x H x L)</t>
        </r>
        <r>
          <rPr>
            <sz val="8"/>
            <color indexed="81"/>
            <rFont val="Tahoma"/>
            <family val="2"/>
          </rPr>
          <t xml:space="preserve"> to be used in the main extract duct and connected to the calculator if access to main extract fan is unavailable</t>
        </r>
      </text>
    </comment>
    <comment ref="D55" authorId="0" shapeId="0" xr:uid="{00000000-0006-0000-0A00-000014000000}">
      <text>
        <r>
          <rPr>
            <b/>
            <u/>
            <sz val="9"/>
            <color indexed="81"/>
            <rFont val="Tahoma"/>
            <family val="2"/>
          </rPr>
          <t>Programming:</t>
        </r>
        <r>
          <rPr>
            <sz val="9"/>
            <color indexed="81"/>
            <rFont val="Tahoma"/>
            <family val="2"/>
          </rPr>
          <t xml:space="preserve">
1 day per system or calculator.</t>
        </r>
      </text>
    </comment>
    <comment ref="D56" authorId="0" shapeId="0" xr:uid="{00000000-0006-0000-0A00-000015000000}">
      <text>
        <r>
          <rPr>
            <b/>
            <u/>
            <sz val="9"/>
            <color indexed="81"/>
            <rFont val="Tahoma"/>
            <family val="2"/>
          </rPr>
          <t>Workshop:</t>
        </r>
        <r>
          <rPr>
            <sz val="9"/>
            <color indexed="81"/>
            <rFont val="Tahoma"/>
            <family val="2"/>
          </rPr>
          <t xml:space="preserve">
Installation of some of the components whilst in the workshop (IR Sensors etc)</t>
        </r>
      </text>
    </comment>
    <comment ref="D57" authorId="0" shapeId="0" xr:uid="{00000000-0006-0000-0A00-000016000000}">
      <text>
        <r>
          <rPr>
            <b/>
            <u/>
            <sz val="9"/>
            <color indexed="81"/>
            <rFont val="Tahoma"/>
            <family val="2"/>
          </rPr>
          <t>Site Installation:</t>
        </r>
        <r>
          <rPr>
            <sz val="9"/>
            <color indexed="81"/>
            <rFont val="Tahoma"/>
            <family val="2"/>
          </rPr>
          <t xml:space="preserve">
Quarter day per section including connecting all components within that section</t>
        </r>
      </text>
    </comment>
    <comment ref="D58" authorId="0" shapeId="0" xr:uid="{00000000-0006-0000-0A00-000017000000}">
      <text>
        <r>
          <rPr>
            <b/>
            <u/>
            <sz val="9"/>
            <color indexed="81"/>
            <rFont val="Tahoma"/>
            <family val="2"/>
          </rPr>
          <t>Consumables:</t>
        </r>
        <r>
          <rPr>
            <sz val="9"/>
            <color indexed="81"/>
            <rFont val="Tahoma"/>
            <family val="2"/>
          </rPr>
          <t xml:space="preserve">
Cable tray, cable ties, fittings etc</t>
        </r>
      </text>
    </comment>
    <comment ref="D59" authorId="0" shapeId="0" xr:uid="{00000000-0006-0000-0A00-000018000000}">
      <text>
        <r>
          <rPr>
            <b/>
            <u/>
            <sz val="9"/>
            <color indexed="81"/>
            <rFont val="Tahoma"/>
            <family val="2"/>
          </rPr>
          <t>1st T &amp; C:</t>
        </r>
        <r>
          <rPr>
            <sz val="9"/>
            <color indexed="81"/>
            <rFont val="Tahoma"/>
            <family val="2"/>
          </rPr>
          <t xml:space="preserve">
Setting the system prior to the cooking equipment being made live</t>
        </r>
      </text>
    </comment>
    <comment ref="D60" authorId="0" shapeId="0" xr:uid="{00000000-0006-0000-0A00-000019000000}">
      <text>
        <r>
          <rPr>
            <b/>
            <u/>
            <sz val="9"/>
            <color indexed="81"/>
            <rFont val="Tahoma"/>
            <family val="2"/>
          </rPr>
          <t>2nd T &amp; C:</t>
        </r>
        <r>
          <rPr>
            <sz val="9"/>
            <color indexed="81"/>
            <rFont val="Tahoma"/>
            <family val="2"/>
          </rPr>
          <t xml:space="preserve">
Cooking equipment is made live final test &amp; commission can be carried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Still</author>
  </authors>
  <commentList>
    <comment ref="AW111" authorId="0" shapeId="0" xr:uid="{30CDB952-89B8-47F9-B964-550803304553}">
      <text>
        <r>
          <rPr>
            <b/>
            <sz val="9"/>
            <color indexed="81"/>
            <rFont val="Tahoma"/>
            <family val="2"/>
          </rPr>
          <t>Simon Still:</t>
        </r>
        <r>
          <rPr>
            <sz val="9"/>
            <color indexed="81"/>
            <rFont val="Tahoma"/>
            <family val="2"/>
          </rPr>
          <t xml:space="preserve">
1/2inch single tap wall mounted c/w 24inch dbl swing </t>
        </r>
      </text>
    </comment>
  </commentList>
</comments>
</file>

<file path=xl/sharedStrings.xml><?xml version="1.0" encoding="utf-8"?>
<sst xmlns="http://schemas.openxmlformats.org/spreadsheetml/2006/main" count="4561" uniqueCount="1480">
  <si>
    <t>ITEM</t>
  </si>
  <si>
    <t>SIZE</t>
  </si>
  <si>
    <t>QTY</t>
  </si>
  <si>
    <t>GREASE FILTERS</t>
  </si>
  <si>
    <t>LIGHTS</t>
  </si>
  <si>
    <t>CONTROLS</t>
  </si>
  <si>
    <t>RACEWAY</t>
  </si>
  <si>
    <t>PEDESTAL LEG</t>
  </si>
  <si>
    <t>CONTROL PANEL</t>
  </si>
  <si>
    <t>WALL CLADDING</t>
  </si>
  <si>
    <t xml:space="preserve">DELIVERIES </t>
  </si>
  <si>
    <t>INSTALLATION</t>
  </si>
  <si>
    <t>OVERNIGHT</t>
  </si>
  <si>
    <t xml:space="preserve">CONSUMABLES </t>
  </si>
  <si>
    <t>TOTAL</t>
  </si>
  <si>
    <t>INSULATION</t>
  </si>
  <si>
    <t>STRIP OUT</t>
  </si>
  <si>
    <t>WATER CONNECTION</t>
  </si>
  <si>
    <t>HWS MANIFOLD</t>
  </si>
  <si>
    <t>CWS MANIFOLD</t>
  </si>
  <si>
    <t>GAS CONNECTION</t>
  </si>
  <si>
    <t>GAS MANIFOLD</t>
  </si>
  <si>
    <t>CC300</t>
  </si>
  <si>
    <t>CC400</t>
  </si>
  <si>
    <t>CC500</t>
  </si>
  <si>
    <t>CC106</t>
  </si>
  <si>
    <t>CC301</t>
  </si>
  <si>
    <t>CC501</t>
  </si>
  <si>
    <t>SUPPLY DUCT</t>
  </si>
  <si>
    <t>EXTRACT DUCT</t>
  </si>
  <si>
    <t>CARBON FILTERS</t>
  </si>
  <si>
    <t>HEPA FILTERS</t>
  </si>
  <si>
    <t>TEST &amp; COMMISSION</t>
  </si>
  <si>
    <t>ATTENUATORS</t>
  </si>
  <si>
    <t>TOTAL COST</t>
  </si>
  <si>
    <t>BS 6173</t>
  </si>
  <si>
    <t>PLANT HIRE</t>
  </si>
  <si>
    <t>HEATER</t>
  </si>
  <si>
    <t>LOUVRES</t>
  </si>
  <si>
    <t>VCD</t>
  </si>
  <si>
    <t>FIRE DAMPERS</t>
  </si>
  <si>
    <t>ACCESS DOORS</t>
  </si>
  <si>
    <t>FRESH AIR FILTERS</t>
  </si>
  <si>
    <t>CRATING</t>
  </si>
  <si>
    <t>INFILL PANEL</t>
  </si>
  <si>
    <t>SELECT LOCATION…</t>
  </si>
  <si>
    <t>ANSUL</t>
  </si>
  <si>
    <t xml:space="preserve">DELIVERY &amp; INSTALLATION </t>
  </si>
  <si>
    <t>DELIVERY &amp; INSTALLATION</t>
  </si>
  <si>
    <t>DELIVERY</t>
  </si>
  <si>
    <t>CARCASS</t>
  </si>
  <si>
    <t>POT RACK (TUBULAR)</t>
  </si>
  <si>
    <t>POT RACK (SOLID)</t>
  </si>
  <si>
    <t>SALAMANDER SUPPORT</t>
  </si>
  <si>
    <t>ELECTRICAL</t>
  </si>
  <si>
    <t>GAS (MF MECH)</t>
  </si>
  <si>
    <t>GAS SOLONOID VALVE</t>
  </si>
  <si>
    <t>WATER  (MF MECH)</t>
  </si>
  <si>
    <t>TAPS (FAUCETS)</t>
  </si>
  <si>
    <t>M&amp;E SERVICES</t>
  </si>
  <si>
    <t>CC100 / CC101</t>
  </si>
  <si>
    <t>CC102 / CC103 / CC1044</t>
  </si>
  <si>
    <t>CC200 / CC2001</t>
  </si>
  <si>
    <t>CC202 / CC203</t>
  </si>
  <si>
    <t>PRISONS</t>
  </si>
  <si>
    <t>MOD FRYER/BRATT SPEC</t>
  </si>
  <si>
    <t>TRAVEL COSTS</t>
  </si>
  <si>
    <t>GAS SOLONOD VALVE</t>
  </si>
  <si>
    <t>SUPPLY AIR DUCT</t>
  </si>
  <si>
    <t>GRILLES/DIFFUSERS</t>
  </si>
  <si>
    <t>FIELD WIRING</t>
  </si>
  <si>
    <t xml:space="preserve">SERVICE DISTRIBUTION UNIT COST </t>
  </si>
  <si>
    <t>Customer</t>
  </si>
  <si>
    <t>Date</t>
  </si>
  <si>
    <t>Location</t>
  </si>
  <si>
    <t>Project Name</t>
  </si>
  <si>
    <t>Revision No</t>
  </si>
  <si>
    <t>Size</t>
  </si>
  <si>
    <t>EXTRACT FANS SIZE</t>
  </si>
  <si>
    <t>ATTENUATORS (EXTRACT)</t>
  </si>
  <si>
    <t>SMB550</t>
  </si>
  <si>
    <t>SMB650</t>
  </si>
  <si>
    <t>SMB700</t>
  </si>
  <si>
    <t>SMB500</t>
  </si>
  <si>
    <t>ATTENUATORS (SUPPLY)</t>
  </si>
  <si>
    <t>SUPPLY FANS SIZE</t>
  </si>
  <si>
    <t>KSA</t>
  </si>
  <si>
    <t>Total</t>
  </si>
  <si>
    <t xml:space="preserve">PANEL / BAG FILTER </t>
  </si>
  <si>
    <t>HEAT RECLAIM COIL</t>
  </si>
  <si>
    <t>FAN SECTION</t>
  </si>
  <si>
    <t>PANEL / UV-C</t>
  </si>
  <si>
    <t>BAG FILTERS</t>
  </si>
  <si>
    <t>ACCESS SECTION</t>
  </si>
  <si>
    <t>PS01 600mm</t>
  </si>
  <si>
    <t>PS02 600mm</t>
  </si>
  <si>
    <t>PS03 600mm</t>
  </si>
  <si>
    <t>PS04 600mm</t>
  </si>
  <si>
    <t>PS05 600mm</t>
  </si>
  <si>
    <t>PS06 600mm</t>
  </si>
  <si>
    <t>PS07 600mm</t>
  </si>
  <si>
    <t>PS08 600mm</t>
  </si>
  <si>
    <t>PS10 600mm</t>
  </si>
  <si>
    <t>PS09 600mm</t>
  </si>
  <si>
    <t>KSA-UV</t>
  </si>
  <si>
    <t>UV SELECTION</t>
  </si>
  <si>
    <t>KITCHEN COMPONENTS</t>
  </si>
  <si>
    <t>RH &amp; T SENSOR</t>
  </si>
  <si>
    <t>CANOPY COMPONENTS</t>
  </si>
  <si>
    <t>EXTRACT PLENUM</t>
  </si>
  <si>
    <t>MOTORISED DAMPERS</t>
  </si>
  <si>
    <t>WORKSHOP INSTALL</t>
  </si>
  <si>
    <t>PROGRAMMING</t>
  </si>
  <si>
    <t>SITE INSTALLATION</t>
  </si>
  <si>
    <t>SUPERVISOR</t>
  </si>
  <si>
    <t>OPTION</t>
  </si>
  <si>
    <t>EL06FLO</t>
  </si>
  <si>
    <t>EL09FLO</t>
  </si>
  <si>
    <t>EL12FLO</t>
  </si>
  <si>
    <t>EL15FLO</t>
  </si>
  <si>
    <t>EL18FLO</t>
  </si>
  <si>
    <t>Office Use Only</t>
  </si>
  <si>
    <t>VENTILATED CEILING MODULES</t>
  </si>
  <si>
    <t>MARVEL</t>
  </si>
  <si>
    <t>POLLUSTOP</t>
  </si>
  <si>
    <t>SDU</t>
  </si>
  <si>
    <t>SIZE LIGHTS…</t>
  </si>
  <si>
    <t>Sell</t>
  </si>
  <si>
    <t>WIDTH</t>
  </si>
  <si>
    <t>LENGTH</t>
  </si>
  <si>
    <t>CANOPY TYPE</t>
  </si>
  <si>
    <t>KVI</t>
  </si>
  <si>
    <t>KVF</t>
  </si>
  <si>
    <t>UVI</t>
  </si>
  <si>
    <t>ACCOMODATION</t>
  </si>
  <si>
    <t>INSTALLATION NORMAL HOURS</t>
  </si>
  <si>
    <t>INSTALLATION AFTER HOURS</t>
  </si>
  <si>
    <t>PER DAY</t>
  </si>
  <si>
    <t>5M PER TEAM PER DAY</t>
  </si>
  <si>
    <t>PER NIGHT PER TEAM</t>
  </si>
  <si>
    <t>ONE ENGINEER</t>
  </si>
  <si>
    <t>GP</t>
  </si>
  <si>
    <t>Material</t>
  </si>
  <si>
    <t>Sq. Metres</t>
  </si>
  <si>
    <t>Sub Total</t>
  </si>
  <si>
    <t>Scrap</t>
  </si>
  <si>
    <t>SC2</t>
  </si>
  <si>
    <t>SC1</t>
  </si>
  <si>
    <t>SCRAP</t>
  </si>
  <si>
    <t>PERF30</t>
  </si>
  <si>
    <t>Material Price m²</t>
  </si>
  <si>
    <t>GREASE DRAWER</t>
  </si>
  <si>
    <t>PERF FRONT PANEL FRAME</t>
  </si>
  <si>
    <t>SLIDING PLATE DAMPERS</t>
  </si>
  <si>
    <t>UV DOORS LONG</t>
  </si>
  <si>
    <t>UV DOORS SHORT</t>
  </si>
  <si>
    <t>Locks</t>
  </si>
  <si>
    <t>Hinges</t>
  </si>
  <si>
    <t xml:space="preserve">UV-C EXTRACT PLENUM 1000MM </t>
  </si>
  <si>
    <t>KVX EXTRACT PLENUM 1000MM</t>
  </si>
  <si>
    <t>KVF CJ PLENUM 1000MM</t>
  </si>
  <si>
    <t>KVI CJ EXTRACT PLENUM 1000MM</t>
  </si>
  <si>
    <t>KVX FRONT PANEL 1000MM</t>
  </si>
  <si>
    <t>DRAWER</t>
  </si>
  <si>
    <t>DAMPERS</t>
  </si>
  <si>
    <t>LIGHT ROOF</t>
  </si>
  <si>
    <t>LABOUR</t>
  </si>
  <si>
    <t>FRONT PANEL</t>
  </si>
  <si>
    <t>UV DOOR</t>
  </si>
  <si>
    <t>END PANEL</t>
  </si>
  <si>
    <t>PRESS TAP</t>
  </si>
  <si>
    <t>WORKSHOP</t>
  </si>
  <si>
    <t>HEIGHT</t>
  </si>
  <si>
    <t>UVF</t>
  </si>
  <si>
    <t>CJ FAN</t>
  </si>
  <si>
    <t>INSULATION PER METER</t>
  </si>
  <si>
    <t>INSUL</t>
  </si>
  <si>
    <t>CJ</t>
  </si>
  <si>
    <t>FRONT PLENUM</t>
  </si>
  <si>
    <t>MUA SPIGOT</t>
  </si>
  <si>
    <t>DIFFUSER</t>
  </si>
  <si>
    <t xml:space="preserve">DIFFUSER </t>
  </si>
  <si>
    <t>CONFIGURATION</t>
  </si>
  <si>
    <t>WALL</t>
  </si>
  <si>
    <t>PLANT SELECTION (weekly)</t>
  </si>
  <si>
    <t>LIGHT SELECTION</t>
  </si>
  <si>
    <t>KVX</t>
  </si>
  <si>
    <t>UVX</t>
  </si>
  <si>
    <t>CV-W-MUAP</t>
  </si>
  <si>
    <t>CV-I-MUAP</t>
  </si>
  <si>
    <t>END PANEL DOUBLE SKIN (CJ) - 1250</t>
  </si>
  <si>
    <t>END PANEL DOUBLE SKIN (CJ) - 1500</t>
  </si>
  <si>
    <t>LIGHT ROOF PER 1000MM - 1250</t>
  </si>
  <si>
    <t>LIGHT ROOF PER 1000MM - 1500</t>
  </si>
  <si>
    <t>END PANEL SINGLE SKIN - 1750</t>
  </si>
  <si>
    <t>END PANEL DOUBLE SKIN (CJ) - 1750</t>
  </si>
  <si>
    <t>LIGHT ROOF PER 1000MM - 1750</t>
  </si>
  <si>
    <t>SECTIONS</t>
  </si>
  <si>
    <t>TYPE</t>
  </si>
  <si>
    <t>PER METER OF CANOPY</t>
  </si>
  <si>
    <t>BMS FAULT INTERFACE</t>
  </si>
  <si>
    <t>OPTIONAL ITEM</t>
  </si>
  <si>
    <t>PERF PANEL 1000MM</t>
  </si>
  <si>
    <t>INFILL</t>
  </si>
  <si>
    <t>COST</t>
  </si>
  <si>
    <t>SELL</t>
  </si>
  <si>
    <t>PROFIT</t>
  </si>
  <si>
    <t>FIRE RATED DUCTWORK</t>
  </si>
  <si>
    <t xml:space="preserve">SUPPLY FAN AND ANCILLARIES </t>
  </si>
  <si>
    <t>SPARE PART</t>
  </si>
  <si>
    <t>CODE</t>
  </si>
  <si>
    <t>PRESS TAP-CJ</t>
  </si>
  <si>
    <t>INTERNAL</t>
  </si>
  <si>
    <t>EXTERNAL</t>
  </si>
  <si>
    <t>DESCRIPTION</t>
  </si>
  <si>
    <t>PRELIM SITE SURVEY</t>
  </si>
  <si>
    <t>SITE SET OUT LASER</t>
  </si>
  <si>
    <t>TRIMMING ON SITE</t>
  </si>
  <si>
    <t>SITE SET UP AND UNLOAD</t>
  </si>
  <si>
    <t>SITE INDUCTION</t>
  </si>
  <si>
    <t>FINAL CLEAN UP &amp; STRIP</t>
  </si>
  <si>
    <t>INSTALLATION DAY</t>
  </si>
  <si>
    <t>MINIMUM 1</t>
  </si>
  <si>
    <t>ONE DAY MIN PER PAIR</t>
  </si>
  <si>
    <t>PER TRIM TILE</t>
  </si>
  <si>
    <t>ONE DAY MIN</t>
  </si>
  <si>
    <t>HALF DAY MIN</t>
  </si>
  <si>
    <t>2nd TEST &amp; COMMISSION</t>
  </si>
  <si>
    <t>1st TEST &amp; COMMISSION</t>
  </si>
  <si>
    <t>UKV RECT DAMPER</t>
  </si>
  <si>
    <t>EXTRACT DUCT ONLY</t>
  </si>
  <si>
    <t>HFR RECT. DAMPER</t>
  </si>
  <si>
    <t>HFA CIRC. DAMPER</t>
  </si>
  <si>
    <t>MOTORISED DAMPER</t>
  </si>
  <si>
    <t>ICM CABLE (3M)</t>
  </si>
  <si>
    <t>Rev No</t>
  </si>
  <si>
    <t>HRS</t>
  </si>
  <si>
    <t>CONTRACTING SCHEDULE</t>
  </si>
  <si>
    <t>1 DAY PER CALCULATOR</t>
  </si>
  <si>
    <t>PER SECTION</t>
  </si>
  <si>
    <t>4 SECTIONS PER DAY</t>
  </si>
  <si>
    <t>PER SYSTEM</t>
  </si>
  <si>
    <t>1 DAY PER SYSTEM</t>
  </si>
  <si>
    <t>DELIVERY C/W CANOPY</t>
  </si>
  <si>
    <t>SITE LIVE TEST</t>
  </si>
  <si>
    <t>4S</t>
  </si>
  <si>
    <t>S</t>
  </si>
  <si>
    <t>TUBES</t>
  </si>
  <si>
    <t>L</t>
  </si>
  <si>
    <t>UVR</t>
  </si>
  <si>
    <t>4L</t>
  </si>
  <si>
    <t>6S</t>
  </si>
  <si>
    <t>6L</t>
  </si>
  <si>
    <t>8S</t>
  </si>
  <si>
    <t>8L</t>
  </si>
  <si>
    <t>MODEL</t>
  </si>
  <si>
    <t>FLOW RATE</t>
  </si>
  <si>
    <t>UVR4S-1</t>
  </si>
  <si>
    <t>UVR4S-2</t>
  </si>
  <si>
    <t>UVR4S-3</t>
  </si>
  <si>
    <t>UVR4S-4</t>
  </si>
  <si>
    <t>UVR4S-5</t>
  </si>
  <si>
    <t>UVR4S-6</t>
  </si>
  <si>
    <t>UVR4S-7</t>
  </si>
  <si>
    <t>UVR4S-8</t>
  </si>
  <si>
    <t>UVR4S-9</t>
  </si>
  <si>
    <t>UVR4S-10</t>
  </si>
  <si>
    <t>UVR4S-11</t>
  </si>
  <si>
    <t>UVR4S-12</t>
  </si>
  <si>
    <t>UVR4L-1</t>
  </si>
  <si>
    <t>UVR4L-2</t>
  </si>
  <si>
    <t>UVR4L-3</t>
  </si>
  <si>
    <t>UVR4L-4</t>
  </si>
  <si>
    <t>UVR4L-5</t>
  </si>
  <si>
    <t>UVR4L-6</t>
  </si>
  <si>
    <t>UVR4L-7</t>
  </si>
  <si>
    <t>UVR4L-8</t>
  </si>
  <si>
    <t>UVR4L-9</t>
  </si>
  <si>
    <t>UVR4L-10</t>
  </si>
  <si>
    <t>UVR4L-11</t>
  </si>
  <si>
    <t>UVR4L-12</t>
  </si>
  <si>
    <t>UVR6S-1</t>
  </si>
  <si>
    <t>UVR6S-2</t>
  </si>
  <si>
    <t>UVR6S-3</t>
  </si>
  <si>
    <t>UVR6S-4</t>
  </si>
  <si>
    <t>UVR6S-5</t>
  </si>
  <si>
    <t>UVR6S-6</t>
  </si>
  <si>
    <t>UVR6S-7</t>
  </si>
  <si>
    <t>UVR6S-8</t>
  </si>
  <si>
    <t>UVR6S-9</t>
  </si>
  <si>
    <t>UVR6S-10</t>
  </si>
  <si>
    <t>UVR6S-11</t>
  </si>
  <si>
    <t>UVR6S-12</t>
  </si>
  <si>
    <t>UVR6L-1</t>
  </si>
  <si>
    <t>UVR6L-2</t>
  </si>
  <si>
    <t>UVR6L-3</t>
  </si>
  <si>
    <t>UVR6L-4</t>
  </si>
  <si>
    <t>UVR6L-5</t>
  </si>
  <si>
    <t>UVR6L-6</t>
  </si>
  <si>
    <t>UVR6L-7</t>
  </si>
  <si>
    <t>UVR6L-8</t>
  </si>
  <si>
    <t>UVR6L-9</t>
  </si>
  <si>
    <t>UVR6L-10</t>
  </si>
  <si>
    <t>UVR6L-11</t>
  </si>
  <si>
    <t>UVR6L-12</t>
  </si>
  <si>
    <t>UVR8S-1</t>
  </si>
  <si>
    <t>UVR8S-2</t>
  </si>
  <si>
    <t>UVR8S-3</t>
  </si>
  <si>
    <t>UVR8S-4</t>
  </si>
  <si>
    <t>UVR8S-5</t>
  </si>
  <si>
    <t>UVR8S-6</t>
  </si>
  <si>
    <t>UVR8S-7</t>
  </si>
  <si>
    <t>UVR8S-8</t>
  </si>
  <si>
    <t>UVR8S-9</t>
  </si>
  <si>
    <t>UVR8S-10</t>
  </si>
  <si>
    <t>UVR8S-11</t>
  </si>
  <si>
    <t>UVR8S-12</t>
  </si>
  <si>
    <t>UVR8L-1</t>
  </si>
  <si>
    <t>UVR8L-2</t>
  </si>
  <si>
    <t>UVR8L-3</t>
  </si>
  <si>
    <t>UVR8L-4</t>
  </si>
  <si>
    <t>UVR8L-5</t>
  </si>
  <si>
    <t>UVR8L-6</t>
  </si>
  <si>
    <t>UVR8L-7</t>
  </si>
  <si>
    <t>UVR8L-8</t>
  </si>
  <si>
    <t>UVR8L-9</t>
  </si>
  <si>
    <t>UVR8L-10</t>
  </si>
  <si>
    <t>UVR8L-11</t>
  </si>
  <si>
    <t>UVR8L-12</t>
  </si>
  <si>
    <t>CMW EXTRACT PLENUM BODY</t>
  </si>
  <si>
    <t>C EXTRACT PLENUM -1250</t>
  </si>
  <si>
    <t>C EXTRACT PLENUM -1500</t>
  </si>
  <si>
    <t>C EXTRACT PLENUM -1750</t>
  </si>
  <si>
    <t>CENTREX</t>
  </si>
  <si>
    <t>WW PODS</t>
  </si>
  <si>
    <t>m²</t>
  </si>
  <si>
    <t>m³</t>
  </si>
  <si>
    <t>CMW-I-MUAP</t>
  </si>
  <si>
    <t>FILTER TYPE</t>
  </si>
  <si>
    <t>SPECIAL WORKS</t>
  </si>
  <si>
    <t>ROUND CORNERS</t>
  </si>
  <si>
    <t>CUT OUT</t>
  </si>
  <si>
    <t>SELECT WORKS</t>
  </si>
  <si>
    <t>KVV</t>
  </si>
  <si>
    <t>KVI-LL</t>
  </si>
  <si>
    <t>UVI-LL</t>
  </si>
  <si>
    <t>NF</t>
  </si>
  <si>
    <t>SECTION UNDER 1000mm</t>
  </si>
  <si>
    <t>CURRENCY</t>
  </si>
  <si>
    <t>EURO</t>
  </si>
  <si>
    <t>GBP</t>
  </si>
  <si>
    <t>LIGHT ROOF PER 1000MM - 2000</t>
  </si>
  <si>
    <t>END PANEL DOUBLE SKIN (CJ) - 2000</t>
  </si>
  <si>
    <t>END PANEL SINGLE SKIN - 2000</t>
  </si>
  <si>
    <t>PRESSURE TAP</t>
  </si>
  <si>
    <t>C EXTRACT PLENUM - 2000</t>
  </si>
  <si>
    <t>DISCOUNT</t>
  </si>
  <si>
    <t>PER TEAM PER DAY</t>
  </si>
  <si>
    <t>PER M3</t>
  </si>
  <si>
    <t>VENTILATED CEILING</t>
  </si>
  <si>
    <t>PASSIVE CEILING (ADD GREASE EXTRACT, SUPPLY AND LIGHT CASSETTES) PRICE PER SQ MTR</t>
  </si>
  <si>
    <t>PER M2 OF CEILING</t>
  </si>
  <si>
    <t>ABERDEEN</t>
  </si>
  <si>
    <t>IRELAND</t>
  </si>
  <si>
    <t>LONDON</t>
  </si>
  <si>
    <t>UVR4S-1   0.4 M³/s</t>
  </si>
  <si>
    <t>UVR4S-2   0.8 M³/s</t>
  </si>
  <si>
    <t>UVR4S-3   1.2 M³/s</t>
  </si>
  <si>
    <t>UVR4S-4   1.6 M³/s</t>
  </si>
  <si>
    <t>UVR4S-5   2.0 M³/s</t>
  </si>
  <si>
    <t>UVR4S-6   2.4 M³/s</t>
  </si>
  <si>
    <t>UVR4S-7   2.8 M³/s</t>
  </si>
  <si>
    <t>UVR4S-8   3.2 M³/s</t>
  </si>
  <si>
    <t>UVR4S-9   3.6 M³/s</t>
  </si>
  <si>
    <t>UVR4S-10  4.0 M³/s</t>
  </si>
  <si>
    <t>UVR4S-11  4.4 M³/s</t>
  </si>
  <si>
    <t>UVR4S-12  4.8 M³/s</t>
  </si>
  <si>
    <t>UVR4L-1   0.8 M³/s</t>
  </si>
  <si>
    <t>UVR4L-2   1.6 M³/s</t>
  </si>
  <si>
    <t>UVR4L-3   2.4 M³/s</t>
  </si>
  <si>
    <t>UVR4L-4   3.2 M³/s</t>
  </si>
  <si>
    <t>UVR4L-5   4.0 M³/s</t>
  </si>
  <si>
    <t>UVR4L6    4.8 M³/s</t>
  </si>
  <si>
    <t>UVR4L-7   5.6 M³/s</t>
  </si>
  <si>
    <t>UVR4L-8   6.4 M³/s</t>
  </si>
  <si>
    <t>UVR4L-9   7.2 M³/s</t>
  </si>
  <si>
    <t>UVR4L-10  8.0 M³/s</t>
  </si>
  <si>
    <t>UVR4L-11  8.8 M³/s</t>
  </si>
  <si>
    <t>UVR4L-12  9.6 M³/s</t>
  </si>
  <si>
    <t>UVR6S-1   0.6 M³/s</t>
  </si>
  <si>
    <t>UVR6S-2   1.2 M³/s</t>
  </si>
  <si>
    <t>UVR6S-3   1.8 M³/s</t>
  </si>
  <si>
    <t>UVR6S-4   2.4 M³/s</t>
  </si>
  <si>
    <t>UVR6S-5   3.0 M³/s</t>
  </si>
  <si>
    <t>UVR6S-6   3.6 M³/s</t>
  </si>
  <si>
    <t>UVR6S-7   4.2 M³/s</t>
  </si>
  <si>
    <t>UVR6S-8   4.8 M³/s</t>
  </si>
  <si>
    <t>UVR6S-9   5.4 M³/s</t>
  </si>
  <si>
    <t>UVR6S-10  5.4 M³/s</t>
  </si>
  <si>
    <t>UVR6S-11  6.6 M³/s</t>
  </si>
  <si>
    <t>UVR6S-12  7.2 M³/s</t>
  </si>
  <si>
    <t>UVR6L-1   1.2 M³/s</t>
  </si>
  <si>
    <t>UVR6L-2   2.4 M³/s</t>
  </si>
  <si>
    <t>UVR6L-3   3.6 M³/s</t>
  </si>
  <si>
    <t>UVR6L-4   4.8 M³/s</t>
  </si>
  <si>
    <t>UVR6L-5   6.0 M³/s</t>
  </si>
  <si>
    <t>UVR6L-6    7.2 M³/s</t>
  </si>
  <si>
    <t>UVR6L-7   8.4 M³/s</t>
  </si>
  <si>
    <t>UVR6L-8   9.6 M³/s</t>
  </si>
  <si>
    <t>UVR6L-10  12.0 M³/s</t>
  </si>
  <si>
    <t>UVR6L-11  13.2 M³/s</t>
  </si>
  <si>
    <t>UVR6L-12  14.4 M³/s</t>
  </si>
  <si>
    <t>UVR8S-1   0.8 M³/s</t>
  </si>
  <si>
    <t>UVR8S-2   1.6 M³/s</t>
  </si>
  <si>
    <t>UVR8S-3   2.4 M³/s</t>
  </si>
  <si>
    <t>UVR8S-4   3.2 M³/s</t>
  </si>
  <si>
    <t>UVR8S-5   4.0 M³/s</t>
  </si>
  <si>
    <t>UVR8S-6   4.8 M³/s</t>
  </si>
  <si>
    <t>UVR8S-7   5.6 M³/s</t>
  </si>
  <si>
    <t>UVR8S-8   6.4 M³/s</t>
  </si>
  <si>
    <t>UVR8S-9   7.2 M³/s</t>
  </si>
  <si>
    <t>UVR8S-10  8.0 M³/s</t>
  </si>
  <si>
    <t>UVR8S-11  8.8 M³/s</t>
  </si>
  <si>
    <t>UVR8S-12  9.6 M³/s</t>
  </si>
  <si>
    <t>UVR8L-1   1.6 M³/s</t>
  </si>
  <si>
    <t>UVR8L-2   3.2 M³/s</t>
  </si>
  <si>
    <t>UVR8L-3   4.8 M³/s</t>
  </si>
  <si>
    <t>UVR8L-4   6.4 M³/s</t>
  </si>
  <si>
    <t>UVR8L-5   8.0 M³/s</t>
  </si>
  <si>
    <t>UVR8L-6   9.6 M³/s</t>
  </si>
  <si>
    <t>UVR8L-7   11.2 M³/s</t>
  </si>
  <si>
    <t>UVR8L-8   12.8 M³/s</t>
  </si>
  <si>
    <t>UVR8L-9   14.4 M³/s</t>
  </si>
  <si>
    <t>UVR8L-10  16.0 M³/s</t>
  </si>
  <si>
    <t>UVR8L-11  17.6 M³/s</t>
  </si>
  <si>
    <t>UVR8L-12  19.2 M³/s</t>
  </si>
  <si>
    <t>EXT CROSS MULLION</t>
  </si>
  <si>
    <t/>
  </si>
  <si>
    <t>SUPPLY AIR CASSETTE</t>
  </si>
  <si>
    <t>SINGLE PLENUM BOX</t>
  </si>
  <si>
    <t>PASSIVE CASSETTE</t>
  </si>
  <si>
    <t>SECURITY FIXINGS PER TILE</t>
  </si>
  <si>
    <t>SECURITY MULLION (3M)</t>
  </si>
  <si>
    <t>PAINTED TILES PER  METRE</t>
  </si>
  <si>
    <t>HI FOG MULLION MODS</t>
  </si>
  <si>
    <t>ULC GREASE EXTRACT CASS</t>
  </si>
  <si>
    <t>ULC PLENUM BOX (FIRE RATED)</t>
  </si>
  <si>
    <t>ULC EMERGENCY LIGHT</t>
  </si>
  <si>
    <t>PER DAY- MINIMUM 1</t>
  </si>
  <si>
    <t>DUCT DESIGN TIME</t>
  </si>
  <si>
    <t>CEILING DESIGN TIME</t>
  </si>
  <si>
    <t>1 PER AREA</t>
  </si>
  <si>
    <t>1 PER CANOPY SECTION</t>
  </si>
  <si>
    <t>1 PER SUPERVISOR</t>
  </si>
  <si>
    <t>1 PER SECTION</t>
  </si>
  <si>
    <t xml:space="preserve">250MM DIAMETER </t>
  </si>
  <si>
    <t>315MM INLET 500X400 OUTLET</t>
  </si>
  <si>
    <t>0.440M3/S - 1.600M3/S</t>
  </si>
  <si>
    <t>0.528M3/S - 1.920M3/S</t>
  </si>
  <si>
    <t>0.616M3/S - 2.240M3/S</t>
  </si>
  <si>
    <t>0.880M3/S - 3.200M3/S</t>
  </si>
  <si>
    <t>1.100M3/S - 4.000M3/S</t>
  </si>
  <si>
    <t>1.760M3/S - 6.400M3/S</t>
  </si>
  <si>
    <t>RISER ELECTRICAL INC MCB</t>
  </si>
  <si>
    <t>RISER ISOLATORS ONLY</t>
  </si>
  <si>
    <t>RISER MECHANICAL</t>
  </si>
  <si>
    <t>RISER COMBINED M&amp;E</t>
  </si>
  <si>
    <t>MCB 8 WAY</t>
  </si>
  <si>
    <t>MCB 12WAY</t>
  </si>
  <si>
    <t>SHUNT TRIP + KO</t>
  </si>
  <si>
    <t>ADDITIONAL KO</t>
  </si>
  <si>
    <t>1-PHASE ISOLATOR/OUTLET</t>
  </si>
  <si>
    <t>3-PHASE ISOLATOR/OUTLET</t>
  </si>
  <si>
    <t>RING MAIN</t>
  </si>
  <si>
    <t>ADDITIONAL SSO</t>
  </si>
  <si>
    <t>800X300X2100</t>
  </si>
  <si>
    <t>800X300X3000</t>
  </si>
  <si>
    <t>400X300X1200</t>
  </si>
  <si>
    <t>400X300X2100</t>
  </si>
  <si>
    <t>400X300X3000</t>
  </si>
  <si>
    <t>1200X300X1200</t>
  </si>
  <si>
    <t>1200X300X2100</t>
  </si>
  <si>
    <t>1200X300X3000</t>
  </si>
  <si>
    <t>0-1100MM</t>
  </si>
  <si>
    <t>1101MM-2300MM</t>
  </si>
  <si>
    <t>2301MM-3000MM</t>
  </si>
  <si>
    <t>SINGLE SIDED UP TO 1200MM</t>
  </si>
  <si>
    <t>125AMP</t>
  </si>
  <si>
    <t>225AMP</t>
  </si>
  <si>
    <t>16AMP WITH MCB</t>
  </si>
  <si>
    <t>32AMP WITH MCB</t>
  </si>
  <si>
    <t>63AMP WITH MCB</t>
  </si>
  <si>
    <t>125AMP WITH MCB</t>
  </si>
  <si>
    <t>INC 2NO SSO</t>
  </si>
  <si>
    <t>GAS INTERLOCK EX-WORKS</t>
  </si>
  <si>
    <t>INC 2NO SSO WITH MCB</t>
  </si>
  <si>
    <t>50MM UP TO 6M</t>
  </si>
  <si>
    <t>40MM UP TO 6M</t>
  </si>
  <si>
    <t>32MM UP TO 6M</t>
  </si>
  <si>
    <t>25MM UP TO 6M</t>
  </si>
  <si>
    <t>15MM</t>
  </si>
  <si>
    <t>20MM</t>
  </si>
  <si>
    <t>25MM</t>
  </si>
  <si>
    <t>32MM</t>
  </si>
  <si>
    <t>40MM</t>
  </si>
  <si>
    <t xml:space="preserve">50MM  </t>
  </si>
  <si>
    <t>28MM UP TO 6M</t>
  </si>
  <si>
    <t>22MM UP TO 6M</t>
  </si>
  <si>
    <t>15MM UP TO 6M</t>
  </si>
  <si>
    <t>22/15MM UP TO 6M</t>
  </si>
  <si>
    <t xml:space="preserve">15MM </t>
  </si>
  <si>
    <t xml:space="preserve">22MM </t>
  </si>
  <si>
    <t xml:space="preserve">28MM </t>
  </si>
  <si>
    <t>PER METRE</t>
  </si>
  <si>
    <t>MECSERFLEX B-594</t>
  </si>
  <si>
    <t>USD</t>
  </si>
  <si>
    <t>PLN</t>
  </si>
  <si>
    <t>SL10 GENIE</t>
  </si>
  <si>
    <t>EXTENSION FORKS</t>
  </si>
  <si>
    <t>2.5M COMBI LADDER</t>
  </si>
  <si>
    <t>3M TOWER</t>
  </si>
  <si>
    <t>COMBI LADDER</t>
  </si>
  <si>
    <t>3M YOUNGMAN BOARD</t>
  </si>
  <si>
    <t>GS1930 SCISSOR LIFT</t>
  </si>
  <si>
    <t>4-6 SHERASCOPIC</t>
  </si>
  <si>
    <t>7-9 SHERASCOPIC</t>
  </si>
  <si>
    <t>INFILL PER M2</t>
  </si>
  <si>
    <t>CRATING PER M3</t>
  </si>
  <si>
    <t>PS02 1560mm</t>
  </si>
  <si>
    <t>PS03 1560mm</t>
  </si>
  <si>
    <t>PS04 1560mm</t>
  </si>
  <si>
    <t>ICM CABLE (3M OR 5M)</t>
  </si>
  <si>
    <t>1000 DIAMETER</t>
  </si>
  <si>
    <t>1250MM DIAMETER</t>
  </si>
  <si>
    <t>1500MM DIAMETER</t>
  </si>
  <si>
    <t>2000MM DIAMETER</t>
  </si>
  <si>
    <t>COMMISSION</t>
  </si>
  <si>
    <t>%</t>
  </si>
  <si>
    <t>GRILLE</t>
  </si>
  <si>
    <t>TRAVEL EXPENSES</t>
  </si>
  <si>
    <t>SITE SPECIFIC</t>
  </si>
  <si>
    <t xml:space="preserve">CASTELLE LOCKING </t>
  </si>
  <si>
    <t>HEADER DUCT S/S</t>
  </si>
  <si>
    <t xml:space="preserve">HEADER DUCT </t>
  </si>
  <si>
    <t>METER OF DUCT</t>
  </si>
  <si>
    <t>CUT OUT(S) PER CANOPY</t>
  </si>
  <si>
    <t>CORNER(S)</t>
  </si>
  <si>
    <t>SECTION(S) OF CANOPY</t>
  </si>
  <si>
    <t>CX-W BODY</t>
  </si>
  <si>
    <t>CX-W BODY - 1000</t>
  </si>
  <si>
    <t>CX-W BODY - 1250</t>
  </si>
  <si>
    <t>CX-W BODY - 1500</t>
  </si>
  <si>
    <t>CX-W BODY - 1750</t>
  </si>
  <si>
    <t>CX-W BODY - 2000</t>
  </si>
  <si>
    <t>MUAP PERF</t>
  </si>
  <si>
    <t>KVV BODY - 1000</t>
  </si>
  <si>
    <t>KVV BODY - 1250</t>
  </si>
  <si>
    <t>KVV BODY - 1500</t>
  </si>
  <si>
    <t>KVV BODY - 1750</t>
  </si>
  <si>
    <t>KVV BODY - 2000</t>
  </si>
  <si>
    <t>KVV BODY</t>
  </si>
  <si>
    <t>END PANEL SINGLE SKIN - 1250</t>
  </si>
  <si>
    <t>END PANEL SINGLE SKIN - 1500</t>
  </si>
  <si>
    <t>END PANEL SINGLE SKIN - 1000</t>
  </si>
  <si>
    <t>BODY</t>
  </si>
  <si>
    <t>SELECT CLADDING</t>
  </si>
  <si>
    <t>2M² (HFL)</t>
  </si>
  <si>
    <t>PAINT FINSH</t>
  </si>
  <si>
    <t>PER METER</t>
  </si>
  <si>
    <t>PERF FRONT PANEL C</t>
  </si>
  <si>
    <t>WATER WASH CONTROLS</t>
  </si>
  <si>
    <t>WATERWASH ENCLOSURE</t>
  </si>
  <si>
    <t>ENCLOSURE</t>
  </si>
  <si>
    <t>PUMP</t>
  </si>
  <si>
    <t>ANCILLARIES</t>
  </si>
  <si>
    <t>CP</t>
  </si>
  <si>
    <t>GWHIZZ</t>
  </si>
  <si>
    <t>MECH 1S</t>
  </si>
  <si>
    <t>MECH 2S</t>
  </si>
  <si>
    <t>MECH 3S</t>
  </si>
  <si>
    <t>MECH 4S</t>
  </si>
  <si>
    <t>BROADOAK 1S</t>
  </si>
  <si>
    <t>BROADOAK 2S</t>
  </si>
  <si>
    <t>BROADOAK 3S</t>
  </si>
  <si>
    <t>BROADOAK 4S</t>
  </si>
  <si>
    <t>DETERGENT</t>
  </si>
  <si>
    <t>MECHANICAL</t>
  </si>
  <si>
    <t>COALSCER</t>
  </si>
  <si>
    <t>SELECT PANEL</t>
  </si>
  <si>
    <t>1000-S</t>
  </si>
  <si>
    <t>1000-D</t>
  </si>
  <si>
    <t>1500-S</t>
  </si>
  <si>
    <t>1500-D</t>
  </si>
  <si>
    <t>2000-S</t>
  </si>
  <si>
    <t>2000-D</t>
  </si>
  <si>
    <t>2500-S</t>
  </si>
  <si>
    <t>3000-S</t>
  </si>
  <si>
    <t>2500-D</t>
  </si>
  <si>
    <t>3000-D</t>
  </si>
  <si>
    <t>MCD</t>
  </si>
  <si>
    <t>ACCOUSTIC LINED</t>
  </si>
  <si>
    <t>SELECT DIAMETER</t>
  </si>
  <si>
    <t>KVX-P</t>
  </si>
  <si>
    <t>OPEN ITEM</t>
  </si>
  <si>
    <t xml:space="preserve">ITEM </t>
  </si>
  <si>
    <t>Carcass Total</t>
  </si>
  <si>
    <t>Services Total</t>
  </si>
  <si>
    <t>TOTAL (rounded)</t>
  </si>
  <si>
    <t>KW</t>
  </si>
  <si>
    <t xml:space="preserve">V </t>
  </si>
  <si>
    <t>PS01 800mm</t>
  </si>
  <si>
    <t>PS02 800mm</t>
  </si>
  <si>
    <t>PS03 800mm</t>
  </si>
  <si>
    <t>PS04 800mm</t>
  </si>
  <si>
    <t>PS05 800mm</t>
  </si>
  <si>
    <t>PS06 800mm</t>
  </si>
  <si>
    <t>PS07 800mm</t>
  </si>
  <si>
    <t>PS08 800mm</t>
  </si>
  <si>
    <t>PS09 800mm</t>
  </si>
  <si>
    <t>PS10 800mm</t>
  </si>
  <si>
    <t>PS08 2060mm</t>
  </si>
  <si>
    <t>PS09 2060mm</t>
  </si>
  <si>
    <t>PS10 2060mm</t>
  </si>
  <si>
    <t>EXTRA OVER FOR VERTICAL</t>
  </si>
  <si>
    <t xml:space="preserve">25% OF TOTAL UNIT </t>
  </si>
  <si>
    <t>BULKHEAD LIGHTING</t>
  </si>
  <si>
    <t>Each</t>
  </si>
  <si>
    <t>VIEWING PANEL</t>
  </si>
  <si>
    <t>PS01 940mm</t>
  </si>
  <si>
    <t>PS02 940mm</t>
  </si>
  <si>
    <t>PS03 940mm</t>
  </si>
  <si>
    <t>PS04 940mm</t>
  </si>
  <si>
    <t>PS05 940mm</t>
  </si>
  <si>
    <t>PS06 940mm</t>
  </si>
  <si>
    <t>PS07 940mm</t>
  </si>
  <si>
    <t>PS08 940mm</t>
  </si>
  <si>
    <t>PS09 940mm</t>
  </si>
  <si>
    <t>PS10 940mm</t>
  </si>
  <si>
    <t>PS01 1150mm</t>
  </si>
  <si>
    <t>PS02 1150mm</t>
  </si>
  <si>
    <t>PS03 1150mm</t>
  </si>
  <si>
    <t>PS04 1150mm</t>
  </si>
  <si>
    <t>PS05 1150mm</t>
  </si>
  <si>
    <t>PS06 1150mm</t>
  </si>
  <si>
    <t>PS07 1150mm</t>
  </si>
  <si>
    <t>PS08 1150mm</t>
  </si>
  <si>
    <t>PS09 1550mm</t>
  </si>
  <si>
    <t>PS10 1150mm</t>
  </si>
  <si>
    <t>PS01 790mm</t>
  </si>
  <si>
    <t>PS02 790mm</t>
  </si>
  <si>
    <t>PS03 790mm</t>
  </si>
  <si>
    <t>PS04 790mm</t>
  </si>
  <si>
    <t>PS05 790mm</t>
  </si>
  <si>
    <t>PS06 790mm</t>
  </si>
  <si>
    <t>PS07 790mm</t>
  </si>
  <si>
    <t>PS08 790mm</t>
  </si>
  <si>
    <t>PS09 790mm</t>
  </si>
  <si>
    <t>PS10 790mm</t>
  </si>
  <si>
    <t>UV-C POD</t>
  </si>
  <si>
    <t>3ph</t>
  </si>
  <si>
    <t>Amp</t>
  </si>
  <si>
    <t>Include live test</t>
  </si>
  <si>
    <t>GAS INTERLOCK</t>
  </si>
  <si>
    <t>PER LIGHT FITTING</t>
  </si>
  <si>
    <t>CAPTURE JET PLENUM</t>
  </si>
  <si>
    <t>CAPTUREJET</t>
  </si>
  <si>
    <t>CAPTURE JET PLENUM (PER METRE)</t>
  </si>
  <si>
    <t>UP TO 5M</t>
  </si>
  <si>
    <t>CMW  PIPEWORK HWS/CWS</t>
  </si>
  <si>
    <t>CANOPY GROUND SUPPORT</t>
  </si>
  <si>
    <t>S/S  T-SHAPED SUPPORT</t>
  </si>
  <si>
    <t>PER METRE (292mm)</t>
  </si>
  <si>
    <t>SUPPLY AIR PLENUM</t>
  </si>
  <si>
    <t>PER METRE (365mm)</t>
  </si>
  <si>
    <t>EXTRACT</t>
  </si>
  <si>
    <t>SUPPLY</t>
  </si>
  <si>
    <t xml:space="preserve">EXTRACT SYSTEM </t>
  </si>
  <si>
    <t xml:space="preserve">SUPPLY SYSTEM </t>
  </si>
  <si>
    <t xml:space="preserve">PROJECT                                                                                       </t>
  </si>
  <si>
    <t>REF</t>
  </si>
  <si>
    <t>No. Off</t>
  </si>
  <si>
    <t>Shoe</t>
  </si>
  <si>
    <t>45 Bend</t>
  </si>
  <si>
    <t>90 Sq Bend</t>
  </si>
  <si>
    <t>90 Rad Bend</t>
  </si>
  <si>
    <t>Sq to Round</t>
  </si>
  <si>
    <t xml:space="preserve">Supports </t>
  </si>
  <si>
    <t>Supports</t>
  </si>
  <si>
    <t>800x800</t>
  </si>
  <si>
    <t>1000x1000</t>
  </si>
  <si>
    <t xml:space="preserve">GALVANISED EXTRACT DUCTWORK COSTS </t>
  </si>
  <si>
    <t xml:space="preserve">GALVANISED SUPPLY DUCTWORK COSTS </t>
  </si>
  <si>
    <t>CANOPIES</t>
  </si>
  <si>
    <t>CONTRACT</t>
  </si>
  <si>
    <t>SDU's</t>
  </si>
  <si>
    <t>M.A.R.V.E.L.</t>
  </si>
  <si>
    <t>VENTILATED CEILINGS</t>
  </si>
  <si>
    <t>CANOPY BESPOKE</t>
  </si>
  <si>
    <t>SPARE</t>
  </si>
  <si>
    <t>PROJECT TOTAL</t>
  </si>
  <si>
    <t xml:space="preserve">EXTRACT FAN AND ANCILLARIES </t>
  </si>
  <si>
    <t>DELIVER &amp; INSTALLATION</t>
  </si>
  <si>
    <t>EXTRAS</t>
  </si>
  <si>
    <t>Delivery Total</t>
  </si>
  <si>
    <t>CAPTUREJET PLENUM</t>
  </si>
  <si>
    <t>SMALL LED-SPOTS</t>
  </si>
  <si>
    <t>0.5 M³/s GBWEC400 (inc INV)</t>
  </si>
  <si>
    <t>Electric heater inc controls</t>
  </si>
  <si>
    <t xml:space="preserve">upto 12kW </t>
  </si>
  <si>
    <t xml:space="preserve">upto 24kW </t>
  </si>
  <si>
    <t xml:space="preserve">upto 42kW </t>
  </si>
  <si>
    <t xml:space="preserve">upto 36kW </t>
  </si>
  <si>
    <t xml:space="preserve">upto 30kW </t>
  </si>
  <si>
    <t>ORIGINAL</t>
  </si>
  <si>
    <t xml:space="preserve">SELECT W/W PODS </t>
  </si>
  <si>
    <t>1.5M PODIUM</t>
  </si>
  <si>
    <t>3 days for large systems.</t>
  </si>
  <si>
    <t>STRIP LIGHTS</t>
  </si>
  <si>
    <t xml:space="preserve">Up to 500mm high only. </t>
  </si>
  <si>
    <t>ONE Engineer,  2 days per Pollustop,1 days per 3no UV &amp; W/W canopies</t>
  </si>
  <si>
    <t>OPTIONAL ITEM Add to all Canary Wharf Projects</t>
  </si>
  <si>
    <t>16AMP WITHOUT MCB</t>
  </si>
  <si>
    <t>32AMP WITHOUT MCB</t>
  </si>
  <si>
    <t>16AMP WTHOUT MCB</t>
  </si>
  <si>
    <t>63AMP WITHOUT MCB</t>
  </si>
  <si>
    <t>125AMP WITHOUT MCB</t>
  </si>
  <si>
    <t>DELIVERY x 1.5 for multple loads</t>
  </si>
  <si>
    <t xml:space="preserve">CHECK SIZE OF LOAD BEFORE ENTERING QUANTITY </t>
  </si>
  <si>
    <t>Job No.</t>
  </si>
  <si>
    <t>Sales Manager / Estimator initials</t>
  </si>
  <si>
    <t>Job No</t>
  </si>
  <si>
    <t>DATE</t>
  </si>
  <si>
    <t>PRICE INCREASE</t>
  </si>
  <si>
    <t>1.0 Canopies</t>
  </si>
  <si>
    <t>Item</t>
  </si>
  <si>
    <t>Description</t>
  </si>
  <si>
    <t>Price</t>
  </si>
  <si>
    <t>Halton canopy, ex-works</t>
  </si>
  <si>
    <t>Delivery &amp; Installation</t>
  </si>
  <si>
    <t>Rip-out of existing canopies</t>
  </si>
  <si>
    <t>Testing &amp; Commissioning</t>
  </si>
  <si>
    <t>2.0 Cladding</t>
  </si>
  <si>
    <t>Cladding below item xxxx, supplied &amp; installed</t>
  </si>
  <si>
    <t>3.0 Ansul</t>
  </si>
  <si>
    <t>Ansul R102 system.  Supplied installed &amp; commissioned</t>
  </si>
  <si>
    <t>Extra over cost for fire alarm coordination test (1 visit)</t>
  </si>
  <si>
    <t>4.0 SDU</t>
  </si>
  <si>
    <t>Service Distribution Unit xxxxmm long. Supplied &amp; installed (carcass only)</t>
  </si>
  <si>
    <t>Electrical &amp; mechanical services, supply &amp; install</t>
  </si>
  <si>
    <t>Extra over cost for separate `live site test'</t>
  </si>
  <si>
    <t>5.0 Extract</t>
  </si>
  <si>
    <t>Supply &amp; installation of extract fan, controls &amp; ductwork</t>
  </si>
  <si>
    <t>Delivery &amp; installation</t>
  </si>
  <si>
    <t>Testing &amp; commissioning</t>
  </si>
  <si>
    <t>6.0 Supply</t>
  </si>
  <si>
    <t>Supply &amp; installation of supply-air fan, controls &amp; ductwork</t>
  </si>
  <si>
    <t>TOTAL (excluding VAT)</t>
  </si>
  <si>
    <t>Hiab for PST04 and above (£650.00 London)</t>
  </si>
  <si>
    <t>ALL COSTS</t>
  </si>
  <si>
    <t>CMWF</t>
  </si>
  <si>
    <t>CMWI</t>
  </si>
  <si>
    <t>CXW</t>
  </si>
  <si>
    <t>KVX-M</t>
  </si>
  <si>
    <t>UVX-M</t>
  </si>
  <si>
    <t>CXW-M</t>
  </si>
  <si>
    <t>Spigot</t>
  </si>
  <si>
    <t>Rad Tee</t>
  </si>
  <si>
    <t>Square Tee</t>
  </si>
  <si>
    <t>Blank End</t>
  </si>
  <si>
    <t>Grille Box</t>
  </si>
  <si>
    <t>Flange</t>
  </si>
  <si>
    <t>Access Door</t>
  </si>
  <si>
    <t>200x200</t>
  </si>
  <si>
    <t>250x250</t>
  </si>
  <si>
    <t>300x300</t>
  </si>
  <si>
    <t>350x350</t>
  </si>
  <si>
    <t>400x400</t>
  </si>
  <si>
    <t>450x450</t>
  </si>
  <si>
    <t>Taper 0.8m</t>
  </si>
  <si>
    <t>1.5m Sraight</t>
  </si>
  <si>
    <t>Offset 0.8m</t>
  </si>
  <si>
    <t>500x500</t>
  </si>
  <si>
    <t>550x550</t>
  </si>
  <si>
    <t>600x600</t>
  </si>
  <si>
    <t>650x650</t>
  </si>
  <si>
    <t>700x700</t>
  </si>
  <si>
    <t>750x750</t>
  </si>
  <si>
    <t>950x950</t>
  </si>
  <si>
    <t>1050x1050</t>
  </si>
  <si>
    <t>1100x1100</t>
  </si>
  <si>
    <t>850x850</t>
  </si>
  <si>
    <t>900x900</t>
  </si>
  <si>
    <t>1150x1150</t>
  </si>
  <si>
    <t>1200x1200</t>
  </si>
  <si>
    <t>1250x1250</t>
  </si>
  <si>
    <t>1300x1300</t>
  </si>
  <si>
    <t>1350x1350</t>
  </si>
  <si>
    <t>1400x1400</t>
  </si>
  <si>
    <t>1450x1450</t>
  </si>
  <si>
    <t>S/TOTAL</t>
  </si>
  <si>
    <t>LED STRIP L6</t>
  </si>
  <si>
    <t>LED STRIP L12</t>
  </si>
  <si>
    <t>LED STRIP L18</t>
  </si>
  <si>
    <t>LED STRIP</t>
  </si>
  <si>
    <t>PEU07-10</t>
  </si>
  <si>
    <t>PEU01-06</t>
  </si>
  <si>
    <t>W/PROOF SINGLE PITCH ROOF</t>
  </si>
  <si>
    <t>Metre</t>
  </si>
  <si>
    <t>CP1S HOT ONLY</t>
  </si>
  <si>
    <t>CP2S HOT ONLY</t>
  </si>
  <si>
    <t>CP3S HOT ONLY</t>
  </si>
  <si>
    <t>CP4S HOT ONLY</t>
  </si>
  <si>
    <t>1.0 M³/s GBDEC450 (inc INV)</t>
  </si>
  <si>
    <t>1.5 M³/s GBDEC500 (inc INV)</t>
  </si>
  <si>
    <t>2.0 M³/s GBDEC560 (inc INV)</t>
  </si>
  <si>
    <t>2.5 M³/s GBDRC630 (inc INV)</t>
  </si>
  <si>
    <t>3.0 M³/s GBDEC710 (Inc INV)</t>
  </si>
  <si>
    <t>CO SENSOR</t>
  </si>
  <si>
    <t>CO2 SENSOR (DCKV)</t>
  </si>
  <si>
    <t>MERLIN CH4CO</t>
  </si>
  <si>
    <t>MERLIN CO</t>
  </si>
  <si>
    <t>MERLIN CT1750 (INCLUDES PRESSURE SWITCH)</t>
  </si>
  <si>
    <t>MERLIN  CT1750 (INC PRESSURE SWITCH)</t>
  </si>
  <si>
    <t>GUIDE PRICES ONLY - SUPPLIER QUOTATIONS TO BE OBTAINED WHENEVER POSSIBLE</t>
  </si>
  <si>
    <t>5.5KW DANFOSS INV IP21</t>
  </si>
  <si>
    <t>7.5KW DANFOSS INV IP21</t>
  </si>
  <si>
    <t>15KW DANFOSS INV IP21</t>
  </si>
  <si>
    <t>11KW DANFOSS INV IP21</t>
  </si>
  <si>
    <t>1 TANK SYSTEM</t>
  </si>
  <si>
    <t>2 TANK SYSTEM</t>
  </si>
  <si>
    <t>3 TANK SYSTEM</t>
  </si>
  <si>
    <t>4 TANK SYSTEM</t>
  </si>
  <si>
    <t>5 TANK SYSTEM</t>
  </si>
  <si>
    <t>6 TANK SYSTEM</t>
  </si>
  <si>
    <t>1 TANK DISTANCE</t>
  </si>
  <si>
    <t>1 TANK TRAVEL HUB</t>
  </si>
  <si>
    <t>NOBEL</t>
  </si>
  <si>
    <t>AMEREX</t>
  </si>
  <si>
    <t>OTHER</t>
  </si>
  <si>
    <t>FIRE SUPPRESSION</t>
  </si>
  <si>
    <t>2 TANK TRAVEL HUB</t>
  </si>
  <si>
    <t>2 TANK DISTANCE</t>
  </si>
  <si>
    <t>3 TANK TRAVEL HUB</t>
  </si>
  <si>
    <t>3 TANK DISTANCE</t>
  </si>
  <si>
    <t>4 TANK TRAVEL HUB</t>
  </si>
  <si>
    <t>4 TANK DISTANCE</t>
  </si>
  <si>
    <t>5 TANK TRAVEL HUB</t>
  </si>
  <si>
    <t>5 TANK DISTANCE</t>
  </si>
  <si>
    <t>6 TANK TRAVEL HUB</t>
  </si>
  <si>
    <t>6 TANK DISTANCE</t>
  </si>
  <si>
    <t>Courtesy AIRTRACE NOV 2016  -  No change in price NOV 2018</t>
  </si>
  <si>
    <t>Damper control</t>
  </si>
  <si>
    <t>GAS INTERLOCK (INSTALLED)</t>
  </si>
  <si>
    <t>100 DIA</t>
  </si>
  <si>
    <t>125 DIA</t>
  </si>
  <si>
    <t>150 DIA</t>
  </si>
  <si>
    <t>200 DIA</t>
  </si>
  <si>
    <t>250 DIA</t>
  </si>
  <si>
    <t>315 DIA</t>
  </si>
  <si>
    <t>355 DIA</t>
  </si>
  <si>
    <t>400DIA</t>
  </si>
  <si>
    <t>450 DIA</t>
  </si>
  <si>
    <t>500 DIA</t>
  </si>
  <si>
    <t>560 DIA</t>
  </si>
  <si>
    <t>3.0m Sraight</t>
  </si>
  <si>
    <t>Coupler</t>
  </si>
  <si>
    <t>Flat Shoe</t>
  </si>
  <si>
    <t>Cap End</t>
  </si>
  <si>
    <t>Split Ring</t>
  </si>
  <si>
    <t>Taper</t>
  </si>
  <si>
    <t>Pressed Saddle</t>
  </si>
  <si>
    <t>LPHW HEATER</t>
  </si>
  <si>
    <t>CO SENSOR (SOLID FUEL)</t>
  </si>
  <si>
    <t>FAN SECTION &amp; VFD</t>
  </si>
  <si>
    <t>UNDER CONSTRUCTION - WATCH THIS SPACE</t>
  </si>
  <si>
    <t>LED STRIP INC BATTERY</t>
  </si>
  <si>
    <t xml:space="preserve"> 2nd EXTRACT PLENUM</t>
  </si>
  <si>
    <t>UV ON DEMAND</t>
  </si>
  <si>
    <t>COLD MIST ON DEMAND</t>
  </si>
  <si>
    <t>PECO LIFT</t>
  </si>
  <si>
    <t>SPIRAL &amp; FLEX</t>
  </si>
  <si>
    <t>UV FILTER</t>
  </si>
  <si>
    <t>COOLING COIL</t>
  </si>
  <si>
    <t>OR 2.5% OF TOTAL CONTRACT VALUE</t>
  </si>
  <si>
    <t xml:space="preserve">PLANT HIRE </t>
  </si>
  <si>
    <t>ELEC / LPHW FROST COIL</t>
  </si>
  <si>
    <t>2.5% TOTAL CONTRACT VALUE</t>
  </si>
  <si>
    <t>4M PER TEAM PER DAY</t>
  </si>
  <si>
    <t>16 AMP 3-PH ISO/OUTLET(NO MCB)</t>
  </si>
  <si>
    <t>16 AMP 3-PH ISO/OUTLET(MCB + VIGI)</t>
  </si>
  <si>
    <t>MCB</t>
  </si>
  <si>
    <t>MCB 4-WAY 125A</t>
  </si>
  <si>
    <t>MCB 6-WAY 125A</t>
  </si>
  <si>
    <t>MCB 8-WAY 125A</t>
  </si>
  <si>
    <t>MCB 16-WAY 125A</t>
  </si>
  <si>
    <t>MCB 18-WAY 125A</t>
  </si>
  <si>
    <t>MCB 24-WAY 125A</t>
  </si>
  <si>
    <t>MCB 4-WAY 160A</t>
  </si>
  <si>
    <t>MCB 6-WAY 160A</t>
  </si>
  <si>
    <t>MCB 8-WAY 160A</t>
  </si>
  <si>
    <t>MCB 16-WAY 160A</t>
  </si>
  <si>
    <t>MCB 18-WAY 160A</t>
  </si>
  <si>
    <t>MCB 24-WAY 160A</t>
  </si>
  <si>
    <t>MCB 4-WAY 250A</t>
  </si>
  <si>
    <t>MCB 6-WAY 250A</t>
  </si>
  <si>
    <t>MCB 16-WAY 250A</t>
  </si>
  <si>
    <t>MCB 18-WAY 250A</t>
  </si>
  <si>
    <t>MCB 24-WAY 250A</t>
  </si>
  <si>
    <t>REMOTE RCO &amp; HOUSING</t>
  </si>
  <si>
    <t>MCB WAYS</t>
  </si>
  <si>
    <t>850X300X2100</t>
  </si>
  <si>
    <t>850X300X3000</t>
  </si>
  <si>
    <t>REMOTE RCD &amp; HOUSING</t>
  </si>
  <si>
    <t>ISO / OUTLET (MCB)</t>
  </si>
  <si>
    <t>ISO/  OUTLET (NO MCB)</t>
  </si>
  <si>
    <t>16 AMP 3-PH ISO/OUTLET(MCB + RCD)</t>
  </si>
  <si>
    <t>Size factor</t>
  </si>
  <si>
    <t>ISO/OUTLET (NO MCB) 01</t>
  </si>
  <si>
    <t>ISO/OUTLET (NO MCB) 02</t>
  </si>
  <si>
    <t>ISO/OUTLET (NO MCB) 03</t>
  </si>
  <si>
    <t>ISO/OUTLET (NO MCB) 04</t>
  </si>
  <si>
    <t>ISO/OUTLET (NO MCB) 05</t>
  </si>
  <si>
    <t>ISO/OUTLET (NO MCB) 06</t>
  </si>
  <si>
    <t>ISO/OUTLET (NO MCB) 07</t>
  </si>
  <si>
    <t>ISO/OUTLET (NO MCB) 08</t>
  </si>
  <si>
    <t>ISO/ OUTLET (MCB) 01</t>
  </si>
  <si>
    <t>ISO/ OUTLET (MCB) 02</t>
  </si>
  <si>
    <t>ISO/ OUTLET (MCB) 03</t>
  </si>
  <si>
    <t>ISO/ OUTLET (MCB) 04</t>
  </si>
  <si>
    <t>ISO/ OUTLET (MCB) 05</t>
  </si>
  <si>
    <t>ISO/ OUTLET (MCB) 06</t>
  </si>
  <si>
    <t>ISO/ OUTLET (MCB) 07</t>
  </si>
  <si>
    <t>ISO/ OUTLET (MCB) 08</t>
  </si>
  <si>
    <t>16 AMP 1-PH ISO/OUTLET(MCB)</t>
  </si>
  <si>
    <t>32 AMP 1-PH ISO/OUTLET(MCB)</t>
  </si>
  <si>
    <t>32 AMP 3-PH ISO/OUTLET(MCB + VIGI)</t>
  </si>
  <si>
    <t>63 AMP 3-PH ISO/OUTLET(MCB)</t>
  </si>
  <si>
    <t>125 AMP 3-PH ISO/OUTLET(MCB)</t>
  </si>
  <si>
    <t>32 AMP 3-PH ISO/OUTLET(MCB + RCD)</t>
  </si>
  <si>
    <t>16 AMP 1-PH ISO/OUTLET(NO MCB)</t>
  </si>
  <si>
    <t>32 AMP 1-PH ISO/OUTLET(NO MCB)</t>
  </si>
  <si>
    <t>32 AMP 3-PH ISO/OUTLET(NO MCB)</t>
  </si>
  <si>
    <t>63 AMP 3-PH ISO/OUTLET(NO MCB)</t>
  </si>
  <si>
    <t>125 AMP 3-PH ISO/OUTLET(NO MCB)</t>
  </si>
  <si>
    <t>NEW COSTS</t>
  </si>
  <si>
    <t>Installation cost assumes each pair has their own alps &amp; step ladders</t>
  </si>
  <si>
    <t>Waterwash control panel does not include for a Touchscreen, if required it needs to be added as an option</t>
  </si>
  <si>
    <t>HEAVY DUTY 1.60 M3/S</t>
  </si>
  <si>
    <t>HEAVY DUTY 0.80 M3/S</t>
  </si>
  <si>
    <t>HEAVY DUTY 1.20 M3/S</t>
  </si>
  <si>
    <t>2 x 6-TUBE SHORT RACKS</t>
  </si>
  <si>
    <t>2 x 8-TUBE SHORT RACKS</t>
  </si>
  <si>
    <t>2 x 4-TUBE LONG RACKS</t>
  </si>
  <si>
    <t>HEAVY DUTY 2.40 M3/S</t>
  </si>
  <si>
    <t>2 x 6-TUBE LONG RACKS</t>
  </si>
  <si>
    <t>HEAVY DUTY 3.20 M3/S</t>
  </si>
  <si>
    <t>2 x 8-TUBE LONG RACKS</t>
  </si>
  <si>
    <t>HEAVY DUTY 3.60 M3/S</t>
  </si>
  <si>
    <t>3 x 6-TUBE LONG RACKS</t>
  </si>
  <si>
    <t>LIGH/MEDIUM DUTY 0.40 M3/S</t>
  </si>
  <si>
    <t>LIGH/MEDIUM DUTY 0.60 M3/S</t>
  </si>
  <si>
    <t>1 x 4-TUBE SHORT RACK</t>
  </si>
  <si>
    <t>2 x 4-TUBE SHORT RACK</t>
  </si>
  <si>
    <t>1 x 6-TUBE SHORT RACK</t>
  </si>
  <si>
    <t>1 x 8-TUBE SHORT RACK</t>
  </si>
  <si>
    <t>LIGH/MEDIUM DUTY 0.480M3/S</t>
  </si>
  <si>
    <t>LIGH/MEDIUM DUTY 1.20 M3/S</t>
  </si>
  <si>
    <t>LIGH/MEDIUM DUTY 1.60 M3/S</t>
  </si>
  <si>
    <t>LIGH/MEDIUM DUTY 0.80 M3/S</t>
  </si>
  <si>
    <t>1 x 4-TUBE LONG RACK</t>
  </si>
  <si>
    <t>1 x 6-TUBE LONG RACK</t>
  </si>
  <si>
    <t>1 x 8-TUBE LONG RACK</t>
  </si>
  <si>
    <t>NO. OFF</t>
  </si>
  <si>
    <t>Flex. 10M</t>
  </si>
  <si>
    <t>Ins. Flex 10M</t>
  </si>
  <si>
    <t>Twin Bend</t>
  </si>
  <si>
    <t>600 DIA</t>
  </si>
  <si>
    <t xml:space="preserve"> BIG LED-SPOTS</t>
  </si>
  <si>
    <t>1250X300X1200</t>
  </si>
  <si>
    <t>1250X300X2100</t>
  </si>
  <si>
    <t>1250X300X3000</t>
  </si>
  <si>
    <t>TEST PROCEDURE</t>
  </si>
  <si>
    <t>LOCATION</t>
  </si>
  <si>
    <t>FACTORY</t>
  </si>
  <si>
    <t>ENGINEER</t>
  </si>
  <si>
    <t>DUCTWORK</t>
  </si>
  <si>
    <t>FACTORY SPACE</t>
  </si>
  <si>
    <t>TEST EQUIPMENT</t>
  </si>
  <si>
    <t>SITE</t>
  </si>
  <si>
    <t xml:space="preserve">PRESSURE  DROP PER MODULE </t>
  </si>
  <si>
    <t>CAPPING PLATES</t>
  </si>
  <si>
    <t>FAN &amp; AIRFLOW PER UNIT</t>
  </si>
  <si>
    <t>CASING AIR LEAKAGE PER UNIT</t>
  </si>
  <si>
    <t xml:space="preserve">FILTER BYPASS PER MODULE </t>
  </si>
  <si>
    <t>DAYS</t>
  </si>
  <si>
    <t>TEGRA 4000K DALI</t>
  </si>
  <si>
    <t>TEGRA 4000K DALI 3HRS DALI  ECT</t>
  </si>
  <si>
    <t>TEGRA 4000K DALI 3hrs DALI ECT</t>
  </si>
  <si>
    <t>TEG-3-528X498-00-0-4K-0-2-0</t>
  </si>
  <si>
    <t>TEG-3-528X498-00-0-4K-0-2-3</t>
  </si>
  <si>
    <t>Pipe Sensor (HR ONLY)</t>
  </si>
  <si>
    <t>Duct Sensor</t>
  </si>
  <si>
    <t xml:space="preserve">A1K-2W-DO-6'20' CLZP </t>
  </si>
  <si>
    <t xml:space="preserve">A1K-2W-5-4x </t>
  </si>
  <si>
    <t>3-Port diverting valve</t>
  </si>
  <si>
    <t>Control platform, fil/htg/clg/fan</t>
  </si>
  <si>
    <t>Control platform, filters &amp; fan</t>
  </si>
  <si>
    <t>SITE INSTALLATION CHECK</t>
  </si>
  <si>
    <t>IF BEING INSTALLED BY A 3RD PARTY</t>
  </si>
  <si>
    <t>ICT-8S1  0.90M3/S</t>
  </si>
  <si>
    <t>ICT-8S2  1.80M3/S</t>
  </si>
  <si>
    <t>ICT-8S3  2.70M3/S</t>
  </si>
  <si>
    <t>ICT-8S4  3.60M3/S</t>
  </si>
  <si>
    <t>ICT-8S5  4.50M3/S</t>
  </si>
  <si>
    <t>ICT-8S6  5.40M3/S</t>
  </si>
  <si>
    <t>ICT-8S7  6.75M3/S</t>
  </si>
  <si>
    <t>ICT-8S8  8.10M3/S</t>
  </si>
  <si>
    <t>3 x 8-TUBE SHORT RACKS</t>
  </si>
  <si>
    <t>4 x 8-TUBE SHORT RACKS</t>
  </si>
  <si>
    <t>5 x 8-TUBE SHORT RACKS</t>
  </si>
  <si>
    <t>6 x 8-TUBE SHORT RACKS</t>
  </si>
  <si>
    <t>7 x 8-TUBE SHORT RACKS</t>
  </si>
  <si>
    <t>8 x 8-TUBE SHORT RACKS</t>
  </si>
  <si>
    <t>ICT-4L1  0.90M3/S</t>
  </si>
  <si>
    <t>ICT-6L1  1.80M3/S</t>
  </si>
  <si>
    <t>T</t>
  </si>
  <si>
    <t>ICT-8L5  10.80M3/S</t>
  </si>
  <si>
    <t>ICT-8L4  9.45M3/S</t>
  </si>
  <si>
    <t>ICT-8L4  8.10M3/S</t>
  </si>
  <si>
    <t>ICT-8L3  6.75M3/S</t>
  </si>
  <si>
    <t>ICT-8L3  5.40M3/S</t>
  </si>
  <si>
    <t>ICT-8L2  4.50M3/S</t>
  </si>
  <si>
    <t xml:space="preserve">ICT-6L2  3.60M3/S </t>
  </si>
  <si>
    <t>2 x 6-TUBE LONG RACK</t>
  </si>
  <si>
    <t>2 x 8-TUBE LONG RACK</t>
  </si>
  <si>
    <t>3 x 8-TUBE LONG RACK</t>
  </si>
  <si>
    <t>4 x 8-TUBE LONG RACK</t>
  </si>
  <si>
    <t>5 x 8-TUBE LONG RACK</t>
  </si>
  <si>
    <t>ICT-6L2  2.70M3/S</t>
  </si>
  <si>
    <t>£20.78/M2</t>
  </si>
  <si>
    <t>£21.77/M2</t>
  </si>
  <si>
    <t>£23.76/M2</t>
  </si>
  <si>
    <t>18% May 21</t>
  </si>
  <si>
    <t>LED STRIP L6 Inc DALI</t>
  </si>
  <si>
    <t>LED STRIP L12 inc DALI</t>
  </si>
  <si>
    <t>LED STRIP L18 Inc DALI</t>
  </si>
  <si>
    <t>Small LED Spots inc DALI</t>
  </si>
  <si>
    <t>Large LED Spots inc DALI</t>
  </si>
  <si>
    <t>E/over for emergency strip light</t>
  </si>
  <si>
    <t>E/over for small emer. spot light</t>
  </si>
  <si>
    <t>E/over for large emer. spot light</t>
  </si>
  <si>
    <t>2B</t>
  </si>
  <si>
    <t>RECO AIR UNIT</t>
  </si>
  <si>
    <t>ATTENUATORS (Melinex lined)</t>
  </si>
  <si>
    <t xml:space="preserve">FIRE SUPPRESSION </t>
  </si>
  <si>
    <t>HCL600 DALI</t>
  </si>
  <si>
    <t>HCL1200 DALI</t>
  </si>
  <si>
    <t>HCL1800 DALI</t>
  </si>
  <si>
    <t xml:space="preserve">F24-09    UVGI COST SHEET </t>
  </si>
  <si>
    <t>Ex-works, supply only, delivery extra</t>
  </si>
  <si>
    <t>OVERNIGHT/ TRAVEL EXPENSES</t>
  </si>
  <si>
    <t>6M PER DAY</t>
  </si>
  <si>
    <t>WALL CLADDING INSTALLATION</t>
  </si>
  <si>
    <t xml:space="preserve">ITEM  </t>
  </si>
  <si>
    <t>PERF</t>
  </si>
  <si>
    <t>3% Oct 21</t>
  </si>
  <si>
    <t>CONSUMABLES  15(P) + 19(H)</t>
  </si>
  <si>
    <t>RAH0.5 STANDARD</t>
  </si>
  <si>
    <t>RAH0.8 STANDARD</t>
  </si>
  <si>
    <t>RA1.0 STANDARD</t>
  </si>
  <si>
    <t>RA1.5 STANDARD</t>
  </si>
  <si>
    <t>RA2.0 STANDARD</t>
  </si>
  <si>
    <t>VERTICAL  0.5M3/S</t>
  </si>
  <si>
    <t>HORIZONTAL  0.5M3/S</t>
  </si>
  <si>
    <t>HORIZONTAL  0.8M3/S</t>
  </si>
  <si>
    <t>HORIZONTAL  0.9M3/S</t>
  </si>
  <si>
    <t>HORIZONTAL  1.2M3/S</t>
  </si>
  <si>
    <t>HORIZONTAL  1.8M3/S</t>
  </si>
  <si>
    <t>HORIZONTAL  2.25M3/S</t>
  </si>
  <si>
    <t>VERTICAL  0.8M3/S</t>
  </si>
  <si>
    <t>VERTICAL  0.9M3/S</t>
  </si>
  <si>
    <t>VERTICAL  1.2M3/S</t>
  </si>
  <si>
    <t>VERTICAL  1.8M3/S</t>
  </si>
  <si>
    <t>VERTICAL  2.25M3/S</t>
  </si>
  <si>
    <t>VERTICAL  2.7M3/S</t>
  </si>
  <si>
    <t>VERTICAL  3.15M3/S</t>
  </si>
  <si>
    <t>VERTICAL  3.6M3/S</t>
  </si>
  <si>
    <t>RAH0.5 VOID (+10%)</t>
  </si>
  <si>
    <t>RA1.0 VOID (+10%)</t>
  </si>
  <si>
    <t>RAH0.8 VOID (+10%)</t>
  </si>
  <si>
    <t>RA1.5 VOID (+10%)</t>
  </si>
  <si>
    <t>RA2.0 VOID (+10%)</t>
  </si>
  <si>
    <t>Comments</t>
  </si>
  <si>
    <t>4HRS</t>
  </si>
  <si>
    <t>4HRS PER SECTION</t>
  </si>
  <si>
    <t>TOTAL AREA DIVIDED BY 4.0m2 customised to suit site</t>
  </si>
  <si>
    <t>EDGE CONNECTIVITY</t>
  </si>
  <si>
    <t>600/400 X 300MM  1 PER SPIGOT</t>
  </si>
  <si>
    <t>ESP</t>
  </si>
  <si>
    <t>ESP SECTION</t>
  </si>
  <si>
    <t>DELIVERY 1 x 7.5T TAIL LIFT 3200KGS</t>
  </si>
  <si>
    <t>ABERDEEN 590</t>
  </si>
  <si>
    <t>BATH 154</t>
  </si>
  <si>
    <t>BRISTOL 157</t>
  </si>
  <si>
    <t>BUCKINGHAMSHIRE 109</t>
  </si>
  <si>
    <t>HIGH WYCOMBE 80</t>
  </si>
  <si>
    <t>MILTON KEYNES 101</t>
  </si>
  <si>
    <t>LUTON 80</t>
  </si>
  <si>
    <t>READING 88</t>
  </si>
  <si>
    <t>PETERBOROUGH 124</t>
  </si>
  <si>
    <t>CAMBRIDGE 85</t>
  </si>
  <si>
    <t>MANCHESTER 251</t>
  </si>
  <si>
    <t>MIDDLESBROUGH 286</t>
  </si>
  <si>
    <t>DURHAM 299</t>
  </si>
  <si>
    <t>BODMIN 273</t>
  </si>
  <si>
    <t>CARLISLE 356</t>
  </si>
  <si>
    <t>DERBY 178</t>
  </si>
  <si>
    <t>EXETER 205</t>
  </si>
  <si>
    <t>EXMOUTH 207</t>
  </si>
  <si>
    <t>PLYMOUTH 247</t>
  </si>
  <si>
    <t>BOURNEMOUTH 140</t>
  </si>
  <si>
    <t>DORCHESTER 160</t>
  </si>
  <si>
    <t>CHELMSFORD 51</t>
  </si>
  <si>
    <t>SOUTHEND 52</t>
  </si>
  <si>
    <t>GLOUCESTER 151</t>
  </si>
  <si>
    <t>HEREFORD 184</t>
  </si>
  <si>
    <t>ANDOVER 102</t>
  </si>
  <si>
    <t>BASINGSTOKE 82</t>
  </si>
  <si>
    <t>BLACKPOOL 289</t>
  </si>
  <si>
    <t>BOLTON 259</t>
  </si>
  <si>
    <t>LANCASTER 290</t>
  </si>
  <si>
    <t>LEICESTER 151</t>
  </si>
  <si>
    <t>PORTSMOUTH 102</t>
  </si>
  <si>
    <t>SOUTHAMPTON 112</t>
  </si>
  <si>
    <t>WIGAN 252</t>
  </si>
  <si>
    <t>WINCHESTER 100</t>
  </si>
  <si>
    <t>SPALDING 143</t>
  </si>
  <si>
    <t>LIVERPOOL 258</t>
  </si>
  <si>
    <t>LINCOLN 179</t>
  </si>
  <si>
    <t>GREAT YARMOUTH 147</t>
  </si>
  <si>
    <t>NORWICH 136</t>
  </si>
  <si>
    <t>NORTHAMPTON 116</t>
  </si>
  <si>
    <t>KETTERING 127</t>
  </si>
  <si>
    <t>NOTTINGHAM 177</t>
  </si>
  <si>
    <t>OXFORD 106</t>
  </si>
  <si>
    <t>BANBURY 128</t>
  </si>
  <si>
    <t>SHREWSBURY 207</t>
  </si>
  <si>
    <t>TELFORD 193</t>
  </si>
  <si>
    <t>TAUNTON 185</t>
  </si>
  <si>
    <t>STAFFORD 187</t>
  </si>
  <si>
    <t>SCUNTHORPE 204</t>
  </si>
  <si>
    <t>YEOVIL 163</t>
  </si>
  <si>
    <t>GRIMSBY 215</t>
  </si>
  <si>
    <t>GLASTONBURY 164</t>
  </si>
  <si>
    <t>CANNOCK 175</t>
  </si>
  <si>
    <t>STOKE-ON-TRENT 205</t>
  </si>
  <si>
    <t>IPSWICH 94</t>
  </si>
  <si>
    <t>SUNDERLAND 309</t>
  </si>
  <si>
    <t>SWANSEA 229</t>
  </si>
  <si>
    <t>WOLVERHAMPTON 175</t>
  </si>
  <si>
    <t>CARDIFF 192</t>
  </si>
  <si>
    <t>BIRMINGHAM 168</t>
  </si>
  <si>
    <t>CHIPPENHAM 136</t>
  </si>
  <si>
    <t>DONCASTER 203</t>
  </si>
  <si>
    <t>HULL 247</t>
  </si>
  <si>
    <t>LEEDS 231</t>
  </si>
  <si>
    <t>SALISBURY 120</t>
  </si>
  <si>
    <t>SHEFFIELD 205</t>
  </si>
  <si>
    <t>WORCESTER 160</t>
  </si>
  <si>
    <t>YORK 243</t>
  </si>
  <si>
    <t>INVERNESS 619</t>
  </si>
  <si>
    <t>GLASGOW 456</t>
  </si>
  <si>
    <t>BEDFORD 103</t>
  </si>
  <si>
    <t>ST IVES 317</t>
  </si>
  <si>
    <t>DARTMOUTH 245</t>
  </si>
  <si>
    <t>COLCHESTER 78</t>
  </si>
  <si>
    <t>TILBURY 34</t>
  </si>
  <si>
    <t>CHELTENHAM 148</t>
  </si>
  <si>
    <t>CORBY 128</t>
  </si>
  <si>
    <t>HEXHAM 325</t>
  </si>
  <si>
    <t>MORPETH 327</t>
  </si>
  <si>
    <t>FELIXSTOWE 103</t>
  </si>
  <si>
    <t>COVENTRY 146</t>
  </si>
  <si>
    <t>WARWICK 148</t>
  </si>
  <si>
    <t>ABINGDON 110</t>
  </si>
  <si>
    <t>ALDEBURGH 112</t>
  </si>
  <si>
    <t>ALDERSHOT 110</t>
  </si>
  <si>
    <t>ALNWICK 342</t>
  </si>
  <si>
    <t>ASHFORD 25</t>
  </si>
  <si>
    <t>AYLESBURY 86</t>
  </si>
  <si>
    <t>BANGOR 324</t>
  </si>
  <si>
    <t>BARKING 32</t>
  </si>
  <si>
    <t>BARNET 55</t>
  </si>
  <si>
    <t>BARNSLEY 209</t>
  </si>
  <si>
    <t>BARNSTABLE 227</t>
  </si>
  <si>
    <t>BARROW-IN-FURNESS 348</t>
  </si>
  <si>
    <t>BASILDON 38</t>
  </si>
  <si>
    <t>BERWICK-UPON-TWEED 371</t>
  </si>
  <si>
    <t>BILLERICAY 37</t>
  </si>
  <si>
    <t>BIRKENHEAD 277</t>
  </si>
  <si>
    <t>BISHOP'S STORTFORD 55</t>
  </si>
  <si>
    <t>BLACKBURN 283</t>
  </si>
  <si>
    <t>BLANDFORD FORUM 144</t>
  </si>
  <si>
    <t>BOGNOR REGIS 88</t>
  </si>
  <si>
    <t>BOOTLE 272</t>
  </si>
  <si>
    <t>BRADFORD 234</t>
  </si>
  <si>
    <t>BRAINTREE 60</t>
  </si>
  <si>
    <t>BRIDGEND 205</t>
  </si>
  <si>
    <t>BRIDLINGTON 244</t>
  </si>
  <si>
    <t>BRIGHTON 68</t>
  </si>
  <si>
    <t>BURNLEY 296</t>
  </si>
  <si>
    <t>BURTON UPON TRENT 175</t>
  </si>
  <si>
    <t>BURY ST EDMUNDS 98</t>
  </si>
  <si>
    <t>CANTERBURY 30</t>
  </si>
  <si>
    <t>CARMARTHEN 252</t>
  </si>
  <si>
    <t>CHESTER 268</t>
  </si>
  <si>
    <t>DORKING 46</t>
  </si>
  <si>
    <t>DOVER 45</t>
  </si>
  <si>
    <t>DUNDEE 499</t>
  </si>
  <si>
    <t>EASTBOURNE 57</t>
  </si>
  <si>
    <t>EASTLEIGH 109</t>
  </si>
  <si>
    <t>EDINBURGH 428</t>
  </si>
  <si>
    <t>ENFIELD 49</t>
  </si>
  <si>
    <t>GRANTHAM 143</t>
  </si>
  <si>
    <t>GUILDFORD 59</t>
  </si>
  <si>
    <t>HARLOW 47</t>
  </si>
  <si>
    <t>HARROGATE 236</t>
  </si>
  <si>
    <t>HARTLEPOOL 286</t>
  </si>
  <si>
    <t>HIGHBRIDGE 187</t>
  </si>
  <si>
    <t>HOLYHEAD 347</t>
  </si>
  <si>
    <t>HONITON 190</t>
  </si>
  <si>
    <t>HORSHAM 55</t>
  </si>
  <si>
    <t>HASTINGS 40</t>
  </si>
  <si>
    <t>GATWICK 44</t>
  </si>
  <si>
    <t>HOUNSLOW 55</t>
  </si>
  <si>
    <t>HUDDERSFIELD 239</t>
  </si>
  <si>
    <t>HUNTINGDON 94</t>
  </si>
  <si>
    <t>application</t>
  </si>
  <si>
    <t>KENDAL 321</t>
  </si>
  <si>
    <t>KIDDERMINSTER 179</t>
  </si>
  <si>
    <t>KILMARNOCK 449</t>
  </si>
  <si>
    <t>KINGSTON UPON HULL 220</t>
  </si>
  <si>
    <t>KINGSTON UPON THAMES 52</t>
  </si>
  <si>
    <t>LAUNCESTON 251</t>
  </si>
  <si>
    <t>LEAMINGTON SPA 146</t>
  </si>
  <si>
    <t>LEIGH ON SEA 45</t>
  </si>
  <si>
    <t>LEWISHAM 29</t>
  </si>
  <si>
    <t>LLANDUDNO 309</t>
  </si>
  <si>
    <t>LONDON in FORS GOLD(varies)</t>
  </si>
  <si>
    <t>MABLETHORPE 182</t>
  </si>
  <si>
    <t>MACCLESFIELD 244</t>
  </si>
  <si>
    <t>MARGATE 46</t>
  </si>
  <si>
    <t>MILFORD HAVEN 289</t>
  </si>
  <si>
    <t>NANTWICH 232</t>
  </si>
  <si>
    <t>NEWBURY 101</t>
  </si>
  <si>
    <t>NEWCASTLE 308</t>
  </si>
  <si>
    <t>NEWPORT 178</t>
  </si>
  <si>
    <t>NEWQUAY 178</t>
  </si>
  <si>
    <t>NORTHUMBERLAND 341</t>
  </si>
  <si>
    <t>OKEHAMPTON 232</t>
  </si>
  <si>
    <t>PENRITH 316</t>
  </si>
  <si>
    <t>PENZANCE 318</t>
  </si>
  <si>
    <t>PERTH 477</t>
  </si>
  <si>
    <t>PETERSFIELD 87</t>
  </si>
  <si>
    <t>PETWORTH 71</t>
  </si>
  <si>
    <t>PONTEFRACT 221</t>
  </si>
  <si>
    <t>POOLE 144</t>
  </si>
  <si>
    <t>REIGATE 39</t>
  </si>
  <si>
    <t>RINGWOOD 130</t>
  </si>
  <si>
    <t>ROSS-ON-WYE 171</t>
  </si>
  <si>
    <t>ROTHERHAM 203</t>
  </si>
  <si>
    <t>SCARBOROUGH 277</t>
  </si>
  <si>
    <t>SHROPSHIRE 218</t>
  </si>
  <si>
    <t>SLOUGH 72</t>
  </si>
  <si>
    <t>SOUTH SHIELDS 310</t>
  </si>
  <si>
    <t>SOUTHPORT 279</t>
  </si>
  <si>
    <t>ST ALBANS 62</t>
  </si>
  <si>
    <t>STAINES 61</t>
  </si>
  <si>
    <t>STEVENAGE 72</t>
  </si>
  <si>
    <t>STIRLING 445</t>
  </si>
  <si>
    <t>STOCKPORT 257</t>
  </si>
  <si>
    <t>STOCKTON 278</t>
  </si>
  <si>
    <t>STRATFORD UPON AVON 151</t>
  </si>
  <si>
    <t>SWINDON 121</t>
  </si>
  <si>
    <t>TAMWORTH 180</t>
  </si>
  <si>
    <t>TORQUAY 227</t>
  </si>
  <si>
    <t>TUNBRIDGE WELLS 26</t>
  </si>
  <si>
    <t>UXBRIDGE 74</t>
  </si>
  <si>
    <t>WAKEFIELD 214</t>
  </si>
  <si>
    <t>WARMINSTER 137</t>
  </si>
  <si>
    <t>WATFORD 67</t>
  </si>
  <si>
    <t>WELSHPOOL 238</t>
  </si>
  <si>
    <t>WEMBLEY 55</t>
  </si>
  <si>
    <t>WEYMOUTH 173</t>
  </si>
  <si>
    <t>WHITBY 282</t>
  </si>
  <si>
    <t>WINCANTON 149</t>
  </si>
  <si>
    <t>WOKING 60</t>
  </si>
  <si>
    <t>WREXHAM 250</t>
  </si>
  <si>
    <t>PERIMETER CHANNEL (3M) + PERIMETER WEDGES</t>
  </si>
  <si>
    <t xml:space="preserve">PRIMARY MULLION (3M) + HANGING BRACKET + FISH PLATE </t>
  </si>
  <si>
    <t xml:space="preserve">GREASE EXTRACT CASS.+ SINGLE PLENUM BOX </t>
  </si>
  <si>
    <t xml:space="preserve">COND. EXTRACT CASS. + SINGLE PLENUM BOX </t>
  </si>
  <si>
    <t xml:space="preserve">PERIMETER CHANNEL (3M)  + PERIMETER WEDGE  </t>
  </si>
  <si>
    <t xml:space="preserve">GREASE EXTRACT CASS. + SINGLE PLENUM BOX </t>
  </si>
  <si>
    <t>DES 2B</t>
  </si>
  <si>
    <t>DIE-PAT</t>
  </si>
  <si>
    <t>BS 6173 CT1750</t>
  </si>
  <si>
    <t>MCB 8-WAY 250A</t>
  </si>
  <si>
    <t>Standard cost</t>
  </si>
  <si>
    <t>W/shop commissioning 1</t>
  </si>
  <si>
    <t>TEST &amp; COMMISSION SITE</t>
  </si>
  <si>
    <t xml:space="preserve">BIM/REVIT </t>
  </si>
  <si>
    <t>PER SQ/M</t>
  </si>
  <si>
    <t>BIM/REVIT</t>
  </si>
  <si>
    <t>TOUCH SCREEN REMOTE BOX - METAL</t>
  </si>
  <si>
    <t>PEU/AEU/HOODS (Staged Alarms)</t>
  </si>
  <si>
    <t xml:space="preserve">PS-150 TOUCH SCREEN </t>
  </si>
  <si>
    <t>PS-152 EDGE BOX</t>
  </si>
  <si>
    <t>PS-153 EDGE BOX</t>
  </si>
  <si>
    <t>PS-154 EDGE BOX</t>
  </si>
  <si>
    <t>PS-155 EDGE BOX</t>
  </si>
  <si>
    <t>MU5 CONTROLLER BOX</t>
  </si>
  <si>
    <t>RCL-280 STAGED ALARM BOX</t>
  </si>
  <si>
    <t>ON SITE FIXINGS</t>
  </si>
  <si>
    <t>EXTERNAL AERIAL BOX</t>
  </si>
  <si>
    <t>PER BOX</t>
  </si>
  <si>
    <t>PEU/MRV/HOODS (Staged Alarms)</t>
  </si>
  <si>
    <t>PEU/AEU/ MRV/HOOD (No Staged Alarms)</t>
  </si>
  <si>
    <t>PEU/HOODS (Staged Alarms)</t>
  </si>
  <si>
    <t xml:space="preserve"> NOT INCLUDED IN THE ABOVE</t>
  </si>
  <si>
    <t>PS-150 TOUCH SCREEN</t>
  </si>
  <si>
    <t>ST/STEEL WALL MOUNTED BOX ENCLOSURE</t>
  </si>
  <si>
    <t>NOT INCLUDED IN THE ABOVE</t>
  </si>
  <si>
    <t>SUPERVISOR/BALLAST BOX</t>
  </si>
  <si>
    <t>NTC-4 SENSOR</t>
  </si>
  <si>
    <t xml:space="preserve">LIR-2 SENSOR </t>
  </si>
  <si>
    <t xml:space="preserve">PS-154 EDGE BOX </t>
  </si>
  <si>
    <t>LHC-2 CONTROL PANEL</t>
  </si>
  <si>
    <t>LHC-2 TH1</t>
  </si>
  <si>
    <t>LHC-2 HMI TOUCH SCREEN WALL HUNG ENCLOSURE</t>
  </si>
  <si>
    <t>PS-150 EDGE CONNECTIVITY</t>
  </si>
  <si>
    <t>LHC-2-MU1 + VV1</t>
  </si>
  <si>
    <t>NTC-4  SENSOR</t>
  </si>
  <si>
    <t>LIR-2 SENSOR</t>
  </si>
  <si>
    <t>10% Jul-23</t>
  </si>
  <si>
    <t>PRICES JUL 2023</t>
  </si>
  <si>
    <t>UVR6L-9   10.8 M³/s</t>
  </si>
  <si>
    <t>MERLIN CH4CO (ELE-683) CARBON MONOXIDE MONITOR</t>
  </si>
  <si>
    <t>MERLIN CO CABON DIOXIDE MONITOR</t>
  </si>
  <si>
    <r>
      <t xml:space="preserve">HINGES </t>
    </r>
    <r>
      <rPr>
        <b/>
        <sz val="10"/>
        <color theme="0"/>
        <rFont val="Arial"/>
        <family val="2"/>
      </rPr>
      <t>(MFG148)</t>
    </r>
  </si>
  <si>
    <r>
      <t xml:space="preserve">LOCKS </t>
    </r>
    <r>
      <rPr>
        <b/>
        <sz val="10"/>
        <color theme="0"/>
        <rFont val="Arial"/>
        <family val="2"/>
      </rPr>
      <t>(MFG-045)</t>
    </r>
  </si>
  <si>
    <t>PSU / JUNCTION BOX</t>
  </si>
  <si>
    <t>PSU</t>
  </si>
  <si>
    <t>J BOX</t>
  </si>
  <si>
    <t>EXTERNAL CONTROLS (REQUIRED)</t>
  </si>
  <si>
    <t>FLAT PACK REASSEBLE ON SITE</t>
  </si>
  <si>
    <t>PER UNIT PER TEAM PER DAY</t>
  </si>
  <si>
    <t>CONNECTIVITY (REQUIRED)</t>
  </si>
  <si>
    <t>PS-070/PS-071/ELE-713</t>
  </si>
  <si>
    <t>PS-153 EDGE + PS-150 REMOTE TOUCH SCR</t>
  </si>
  <si>
    <t>ALWAYS INCLUDE</t>
  </si>
  <si>
    <t>ANSUL DELIVERY</t>
  </si>
  <si>
    <r>
      <t xml:space="preserve">2 Pieces = 1 Day, 4 Pieces = 1.5 Days, 6 Pieces = 2 Days,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</si>
  <si>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WHEELS</t>
  </si>
  <si>
    <t>PER UNIT</t>
  </si>
  <si>
    <t>FLAT PACK (Inc. Pallets)</t>
  </si>
  <si>
    <t>BIM/ REVIT per CANOPY</t>
  </si>
  <si>
    <t>DESIGN</t>
  </si>
  <si>
    <t>BIM/REVIT PER UNIT</t>
  </si>
  <si>
    <t>BIM/REVIT PER SYSTEM</t>
  </si>
  <si>
    <t>GP SHOULD BE MINIMUM 44%</t>
  </si>
  <si>
    <t>GP SHOULD BE MINIMUM 40%</t>
  </si>
  <si>
    <t>GP SHOULD BE MINIMUM 37%</t>
  </si>
  <si>
    <t>GP SHOULD BE MINIMUM 30%</t>
  </si>
  <si>
    <t>0.5 Per Area/System</t>
  </si>
  <si>
    <t>USE SEPARATE TAB</t>
  </si>
  <si>
    <t xml:space="preserve">INDUCTION </t>
  </si>
  <si>
    <t>PER PROJECT</t>
  </si>
  <si>
    <t>LIVE SITE TEST</t>
  </si>
  <si>
    <t>INCLUDE FOR ANSUL BUT SHOWN AS A LINE ITEM FOR AMEREX</t>
  </si>
  <si>
    <t>INCLUDED IN RA2.5/3.0/3.5/4.0 COST</t>
  </si>
  <si>
    <r>
      <t>RA2.5</t>
    </r>
    <r>
      <rPr>
        <sz val="10"/>
        <color theme="1" tint="0.249977111117893"/>
        <rFont val="Calibri"/>
        <family val="2"/>
        <scheme val="minor"/>
      </rPr>
      <t xml:space="preserve"> STANDARD</t>
    </r>
    <r>
      <rPr>
        <sz val="11"/>
        <color theme="1" tint="0.249977111117893"/>
        <rFont val="Calibri"/>
        <family val="2"/>
        <scheme val="minor"/>
      </rPr>
      <t xml:space="preserve"> </t>
    </r>
    <r>
      <rPr>
        <sz val="8"/>
        <color theme="1" tint="0.249977111117893"/>
        <rFont val="Calibri"/>
        <family val="2"/>
        <scheme val="minor"/>
      </rPr>
      <t>(Prem Controls)</t>
    </r>
  </si>
  <si>
    <r>
      <t xml:space="preserve">RA3.0 </t>
    </r>
    <r>
      <rPr>
        <b/>
        <sz val="10"/>
        <color theme="1" tint="0.249977111117893"/>
        <rFont val="Calibri"/>
        <family val="2"/>
        <scheme val="minor"/>
      </rPr>
      <t>STANDARD</t>
    </r>
    <r>
      <rPr>
        <b/>
        <sz val="8"/>
        <color theme="1" tint="0.249977111117893"/>
        <rFont val="Calibri"/>
        <family val="2"/>
        <scheme val="minor"/>
      </rPr>
      <t xml:space="preserve"> (Prem Controls)</t>
    </r>
  </si>
  <si>
    <r>
      <t xml:space="preserve">RA3.5 STANDARD </t>
    </r>
    <r>
      <rPr>
        <b/>
        <sz val="8"/>
        <color rgb="FFFF0000"/>
        <rFont val="Calibri"/>
        <family val="2"/>
        <scheme val="minor"/>
      </rPr>
      <t>(Prem Controls)</t>
    </r>
  </si>
  <si>
    <r>
      <t xml:space="preserve">RA4.0 STANDARD </t>
    </r>
    <r>
      <rPr>
        <b/>
        <sz val="8"/>
        <color rgb="FFFF0000"/>
        <rFont val="Calibri"/>
        <family val="2"/>
        <scheme val="minor"/>
      </rPr>
      <t>(Prem Controls)</t>
    </r>
  </si>
  <si>
    <t>RA2.5 VOID (+10%) (Prem Controls)</t>
  </si>
  <si>
    <t>COST Inc. PRICE INCREASE</t>
  </si>
  <si>
    <t>MAKE UP AIR PLENUM ONLY</t>
  </si>
  <si>
    <t>BELIMO CIRC. DAMPER (SPIGOT)</t>
  </si>
  <si>
    <t>HFA CIRC. DAMPER (DUCTWORK)</t>
  </si>
  <si>
    <t>1 TANK</t>
  </si>
  <si>
    <t>2 TANK</t>
  </si>
  <si>
    <t>3 TANK</t>
  </si>
  <si>
    <t>4 TANK</t>
  </si>
  <si>
    <t>5 TANK</t>
  </si>
  <si>
    <t>6 TANK</t>
  </si>
  <si>
    <t>TANK INSTALL</t>
  </si>
  <si>
    <t>GOT Panel Comp for UV-c (24 Sections Max)</t>
  </si>
  <si>
    <t>RCL-342 GOT-112 WALL BOX</t>
  </si>
  <si>
    <t>Remote Mounting box if Required</t>
  </si>
  <si>
    <t>Tab</t>
  </si>
  <si>
    <t>Cost</t>
  </si>
  <si>
    <t>Canopy</t>
  </si>
  <si>
    <t>Fire Suppression</t>
  </si>
  <si>
    <t>MRV COMMISSIONING</t>
  </si>
  <si>
    <t>2No Genies Req'd for Void Mounted units</t>
  </si>
  <si>
    <t>2No Pairs Req'd for Void Mounted units</t>
  </si>
  <si>
    <t>MRV SITE WIRING (Pre Commission)</t>
  </si>
  <si>
    <r>
      <t xml:space="preserve">2 Pieces = 1 Day, 4 Pieces = 1.5 Days, </t>
    </r>
    <r>
      <rPr>
        <b/>
        <sz val="12"/>
        <color theme="1" tint="0.249977111117893"/>
        <rFont val="Calibri"/>
        <family val="2"/>
        <scheme val="minor"/>
      </rPr>
      <t>6 Pieces = 2 Days</t>
    </r>
    <r>
      <rPr>
        <b/>
        <sz val="11"/>
        <color theme="1" tint="0.249977111117893"/>
        <rFont val="Calibri"/>
        <family val="2"/>
        <scheme val="minor"/>
      </rPr>
      <t xml:space="preserve">, 8 Pieces = 2.5 Days </t>
    </r>
    <r>
      <rPr>
        <b/>
        <sz val="11"/>
        <color rgb="FFFF0000"/>
        <rFont val="Calibri"/>
        <family val="2"/>
        <scheme val="minor"/>
      </rPr>
      <t>(1 Section up to 3m long equals 2 Pieces)</t>
    </r>
    <r>
      <rPr>
        <b/>
        <sz val="11"/>
        <color theme="1" tint="0.249977111117893"/>
        <rFont val="Calibri"/>
        <family val="2"/>
        <scheme val="minor"/>
      </rPr>
      <t xml:space="preserve"> + logistics</t>
    </r>
  </si>
  <si>
    <t>Install of 6no Pieces of Canopy Max</t>
  </si>
  <si>
    <t>MINIMUM 1 DAY - When no other light source apart from Halton</t>
  </si>
  <si>
    <t>LUX LEVEL TEST/REPORT</t>
  </si>
  <si>
    <r>
      <t xml:space="preserve">CJ </t>
    </r>
    <r>
      <rPr>
        <b/>
        <sz val="10"/>
        <color theme="0"/>
        <rFont val="Arial"/>
        <family val="2"/>
      </rPr>
      <t>(CJF-008)</t>
    </r>
  </si>
  <si>
    <t>COALESCER</t>
  </si>
  <si>
    <t>EACH</t>
  </si>
  <si>
    <t>RECO CANOPIES MUST HAVE COALESCERS</t>
  </si>
  <si>
    <t>always include</t>
  </si>
  <si>
    <t>AEROLYS AEU-</t>
  </si>
  <si>
    <t>m³/s</t>
  </si>
  <si>
    <t>POLLUSTOP PEU-</t>
  </si>
  <si>
    <t>Vent Clg</t>
  </si>
  <si>
    <t>Edge</t>
  </si>
  <si>
    <t>Aerolys</t>
  </si>
  <si>
    <t>Pollustop</t>
  </si>
  <si>
    <t>Reco</t>
  </si>
  <si>
    <t>Reactaway</t>
  </si>
  <si>
    <t>FACTORY 25hrs x £35.00</t>
  </si>
  <si>
    <t>JEM's ADHOC DAY RATE</t>
  </si>
  <si>
    <t>POLLU-LITE 01</t>
  </si>
  <si>
    <t>POLLU-LITE 02</t>
  </si>
  <si>
    <t>POLLU-LITE 03</t>
  </si>
  <si>
    <t>POLLU-LITE 04</t>
  </si>
  <si>
    <t>HORIZONTAL  2.7M3/S</t>
  </si>
  <si>
    <t>HORIZONTAL  3.6M3/S</t>
  </si>
  <si>
    <t xml:space="preserve">P-L 01 VOID </t>
  </si>
  <si>
    <t>P-L 02 VOID</t>
  </si>
  <si>
    <t xml:space="preserve">P-L 03 VOID </t>
  </si>
  <si>
    <t>P-L 04 VOID</t>
  </si>
  <si>
    <t>6% Jan-25</t>
  </si>
  <si>
    <t>on application</t>
  </si>
  <si>
    <t>6% added to GREY column for 2025 shown in RED</t>
  </si>
  <si>
    <t>M&amp;E SERVICES/Pre Commission from Service</t>
  </si>
  <si>
    <t>On Request for Schneider ONLY</t>
  </si>
  <si>
    <t>Shunt is included in the ABB costs that we curerently use as advised by S.Steers</t>
  </si>
  <si>
    <t>On Request for Schneider ONLY - Shunt is included in the ABB costs that we curerently use as advised by S.Steers</t>
  </si>
  <si>
    <t>PS01 1560mm</t>
  </si>
  <si>
    <t>PS05 2060mm</t>
  </si>
  <si>
    <t>PS06 2060mm</t>
  </si>
  <si>
    <t>PS07 2060mm</t>
  </si>
  <si>
    <t>ONE Engineer, 2 days per Pollustop</t>
  </si>
  <si>
    <t>ONE Engineer, 2 days per Aerolys</t>
  </si>
  <si>
    <t xml:space="preserve">PS-160 EXTERNAL AERIAL </t>
  </si>
  <si>
    <t>CONNECTIVITY PS-153/152/154/155</t>
  </si>
  <si>
    <r>
      <t>CONNECTIVITY  (</t>
    </r>
    <r>
      <rPr>
        <b/>
        <sz val="11"/>
        <color rgb="FF7030A0"/>
        <rFont val="Calibri"/>
        <family val="2"/>
        <scheme val="minor"/>
      </rPr>
      <t>UV-GOT</t>
    </r>
    <r>
      <rPr>
        <b/>
        <sz val="11"/>
        <rFont val="Calibri"/>
        <family val="2"/>
        <scheme val="minor"/>
      </rPr>
      <t>)</t>
    </r>
  </si>
  <si>
    <r>
      <t>PS-156 EDGE BOX REMOTE ROUTER (</t>
    </r>
    <r>
      <rPr>
        <b/>
        <sz val="11"/>
        <color rgb="FF7030A0"/>
        <rFont val="Calibri"/>
        <family val="2"/>
        <scheme val="minor"/>
      </rPr>
      <t>UV-GOT</t>
    </r>
    <r>
      <rPr>
        <b/>
        <sz val="11"/>
        <rFont val="Calibri"/>
        <family val="2"/>
        <scheme val="minor"/>
      </rPr>
      <t xml:space="preserve">)  </t>
    </r>
  </si>
  <si>
    <t>First Year Connectivity Fee from Group</t>
  </si>
  <si>
    <t>EDGE UP2 Plus First Year Connectivity Fee from Group</t>
  </si>
  <si>
    <t>ONE DAY UNLESS FLATPACKED THEN ALLOW 1.5 DAYS</t>
  </si>
  <si>
    <t>ONE Engineer,  1 day per 4no UV or W/W Sections of Canopy</t>
  </si>
  <si>
    <t>1 Day per 20no Extract Tiles</t>
  </si>
  <si>
    <t>EXTERNAL ROUTER</t>
  </si>
  <si>
    <r>
      <t>RCL-329 LPC-3 GOT.112 (</t>
    </r>
    <r>
      <rPr>
        <b/>
        <sz val="11"/>
        <color theme="7" tint="-0.249977111117893"/>
        <rFont val="Calibri"/>
        <family val="2"/>
        <scheme val="minor"/>
      </rPr>
      <t>CANOPY CONTROL</t>
    </r>
    <r>
      <rPr>
        <b/>
        <sz val="11"/>
        <color rgb="FFFF0000"/>
        <rFont val="Calibri"/>
        <family val="2"/>
        <scheme val="minor"/>
      </rPr>
      <t>)</t>
    </r>
  </si>
  <si>
    <t xml:space="preserve">Add if Alarms requested for a GOT panel </t>
  </si>
  <si>
    <t>F24-19.2   AHU TESTING COST SHEET</t>
  </si>
  <si>
    <t>F24 - 19.2 CONTRACTING COST SHEET</t>
  </si>
  <si>
    <t>F24 - 19.2  CANOPY COST SHEET</t>
  </si>
  <si>
    <t xml:space="preserve">F24-19.2   SERVICE DISTRIBUTION UNIT COST </t>
  </si>
  <si>
    <t>F24-19.2    VENTILATED CEILING COST CEILING</t>
  </si>
  <si>
    <t>F-24 19.2  M.A.R.V.E.L. COST SHEET</t>
  </si>
  <si>
    <t xml:space="preserve">F24-19.2    EDGE BOX COST SHEET </t>
  </si>
  <si>
    <t>F24-19.2  AEROLYS COST SHEET</t>
  </si>
  <si>
    <t>F24-19.2 POLLUSTOP COST SHEET</t>
  </si>
  <si>
    <t xml:space="preserve">F24-19.2   POLLU-LITE COST SHEET </t>
  </si>
  <si>
    <t xml:space="preserve">F24-19.2   RECOAIR COST SHEET </t>
  </si>
  <si>
    <t xml:space="preserve">F24-19.2   REACTAWAY COST SHEET </t>
  </si>
  <si>
    <t>FIREWATCH</t>
  </si>
  <si>
    <t>1 PER SECTION (NTC-7 + DO2 + BUZZER + WIDER TRAY)</t>
  </si>
  <si>
    <t>FIREWATCH (NTC-7 Sensor)</t>
  </si>
  <si>
    <t>JUN25-19.2</t>
  </si>
  <si>
    <t>CONTROLS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</si>
</sst>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0;[Red]\-&quot;£&quot;#,##0"/>
    <numFmt numFmtId="165" formatCode="&quot;£&quot;#,##0.00;[Red]\-&quot;£&quot;#,##0.00"/>
    <numFmt numFmtId="166" formatCode="_-&quot;£&quot;* #,##0.00_-;\-&quot;£&quot;* #,##0.00_-;_-&quot;£&quot;* &quot;-&quot;??_-;_-@_-"/>
    <numFmt numFmtId="167" formatCode="&quot;£&quot;#,##0.00"/>
    <numFmt numFmtId="168" formatCode="0.0%"/>
    <numFmt numFmtId="169" formatCode="&quot;£&quot;#,##0"/>
    <numFmt numFmtId="170" formatCode="[$-F800]dddd\,\ mmmm\ dd\,\ yyyy"/>
    <numFmt numFmtId="171" formatCode="_-&quot;£&quot;* #,##0.00_-;\-&quot;£&quot;* #,##0.00_-;_-&quot;£&quot;* &quot;-&quot;????_-;_-@_-"/>
    <numFmt numFmtId="172" formatCode="_-&quot;£&quot;* #,##0_-;\-&quot;£&quot;* #,##0_-;_-&quot;£&quot;* &quot;-&quot;??_-;_-@_-"/>
    <numFmt numFmtId="173" formatCode="_-[$£-809]* #,##0.00_-;\-[$£-809]* #,##0.00_-;_-[$£-809]* &quot;-&quot;??_-;_-@_-"/>
    <numFmt numFmtId="174" formatCode="0.0"/>
    <numFmt numFmtId="175" formatCode="#,##0.00_ ;\-#,##0.00\ "/>
    <numFmt numFmtId="176" formatCode="#,##0_ ;\-#,##0\ "/>
  </numFmts>
  <fonts count="1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0"/>
      <color rgb="FFFF0000"/>
      <name val="Arial"/>
      <family val="2"/>
    </font>
    <font>
      <b/>
      <sz val="11"/>
      <color theme="1" tint="0.249977111117893"/>
      <name val="Calibri"/>
      <family val="2"/>
      <scheme val="minor"/>
    </font>
    <font>
      <b/>
      <sz val="11"/>
      <color theme="0"/>
      <name val="Calibri"/>
      <family val="2"/>
      <scheme val="minor"/>
    </font>
    <font>
      <b/>
      <sz val="11"/>
      <color theme="1" tint="0.14999847407452621"/>
      <name val="Calibri"/>
      <family val="2"/>
      <scheme val="minor"/>
    </font>
    <font>
      <sz val="11"/>
      <color theme="1" tint="0.14999847407452621"/>
      <name val="Calibri"/>
      <family val="2"/>
      <scheme val="minor"/>
    </font>
    <font>
      <b/>
      <sz val="11"/>
      <color theme="1" tint="0.34998626667073579"/>
      <name val="Calibri"/>
      <family val="2"/>
      <scheme val="minor"/>
    </font>
    <font>
      <b/>
      <sz val="11"/>
      <color theme="8" tint="-0.249977111117893"/>
      <name val="Calibri"/>
      <family val="2"/>
      <scheme val="minor"/>
    </font>
    <font>
      <b/>
      <sz val="11"/>
      <color theme="8" tint="-0.499984740745262"/>
      <name val="Calibri"/>
      <family val="2"/>
      <scheme val="minor"/>
    </font>
    <font>
      <sz val="9"/>
      <color indexed="81"/>
      <name val="Tahoma"/>
      <family val="2"/>
    </font>
    <font>
      <sz val="11"/>
      <color theme="1" tint="0.249977111117893"/>
      <name val="Calibri"/>
      <family val="2"/>
      <scheme val="minor"/>
    </font>
    <font>
      <b/>
      <u/>
      <sz val="9"/>
      <color indexed="81"/>
      <name val="Tahoma"/>
      <family val="2"/>
    </font>
    <font>
      <b/>
      <u/>
      <sz val="8"/>
      <color indexed="81"/>
      <name val="Tahoma"/>
      <family val="2"/>
    </font>
    <font>
      <sz val="8"/>
      <color indexed="81"/>
      <name val="Tahoma"/>
      <family val="2"/>
    </font>
    <font>
      <b/>
      <sz val="8"/>
      <color indexed="81"/>
      <name val="Tahoma"/>
      <family val="2"/>
    </font>
    <font>
      <u/>
      <sz val="8"/>
      <color indexed="81"/>
      <name val="Tahoma"/>
      <family val="2"/>
    </font>
    <font>
      <b/>
      <sz val="14"/>
      <color theme="1" tint="0.249977111117893"/>
      <name val="Calibri"/>
      <family val="2"/>
      <scheme val="minor"/>
    </font>
    <font>
      <b/>
      <sz val="11"/>
      <color rgb="FFC00000"/>
      <name val="Calibri"/>
      <family val="2"/>
      <scheme val="minor"/>
    </font>
    <font>
      <b/>
      <sz val="11"/>
      <color theme="8" tint="0.79998168889431442"/>
      <name val="Calibri"/>
      <family val="2"/>
      <scheme val="minor"/>
    </font>
    <font>
      <sz val="11"/>
      <color theme="8" tint="0.79998168889431442"/>
      <name val="Calibri"/>
      <family val="2"/>
      <scheme val="minor"/>
    </font>
    <font>
      <b/>
      <sz val="11"/>
      <color rgb="FFFF0000"/>
      <name val="Calibri"/>
      <family val="2"/>
      <scheme val="minor"/>
    </font>
    <font>
      <sz val="11"/>
      <color theme="0"/>
      <name val="Calibri"/>
      <family val="2"/>
      <scheme val="minor"/>
    </font>
    <font>
      <sz val="11"/>
      <color theme="1" tint="0.34998626667073579"/>
      <name val="Calibri"/>
      <family val="2"/>
      <scheme val="minor"/>
    </font>
    <font>
      <i/>
      <sz val="11"/>
      <color theme="1" tint="0.14999847407452621"/>
      <name val="Calibri"/>
      <family val="2"/>
      <scheme val="minor"/>
    </font>
    <font>
      <sz val="11"/>
      <color theme="8" tint="-0.499984740745262"/>
      <name val="Calibri"/>
      <family val="2"/>
      <scheme val="minor"/>
    </font>
    <font>
      <b/>
      <sz val="11"/>
      <name val="Calibri"/>
      <family val="2"/>
      <scheme val="minor"/>
    </font>
    <font>
      <sz val="11"/>
      <name val="Calibri"/>
      <family val="2"/>
      <scheme val="minor"/>
    </font>
    <font>
      <i/>
      <sz val="11"/>
      <color theme="1" tint="0.249977111117893"/>
      <name val="Calibri"/>
      <family val="2"/>
      <scheme val="minor"/>
    </font>
    <font>
      <b/>
      <i/>
      <sz val="11"/>
      <name val="Calibri"/>
      <family val="2"/>
      <scheme val="minor"/>
    </font>
    <font>
      <sz val="14"/>
      <color theme="1" tint="0.249977111117893"/>
      <name val="Calibri"/>
      <family val="2"/>
      <scheme val="minor"/>
    </font>
    <font>
      <i/>
      <sz val="11"/>
      <color theme="1" tint="0.34998626667073579"/>
      <name val="Calibri"/>
      <family val="2"/>
      <scheme val="minor"/>
    </font>
    <font>
      <b/>
      <sz val="14"/>
      <color theme="8" tint="-0.499984740745262"/>
      <name val="Calibri"/>
      <family val="2"/>
      <scheme val="minor"/>
    </font>
    <font>
      <b/>
      <i/>
      <sz val="11"/>
      <color theme="1" tint="0.249977111117893"/>
      <name val="Calibri"/>
      <family val="2"/>
      <scheme val="minor"/>
    </font>
    <font>
      <sz val="10"/>
      <color theme="0"/>
      <name val="Arial"/>
      <family val="2"/>
    </font>
    <font>
      <b/>
      <sz val="10"/>
      <color theme="0"/>
      <name val="Arial"/>
      <family val="2"/>
    </font>
    <font>
      <b/>
      <sz val="10"/>
      <color theme="1"/>
      <name val="Arial"/>
      <family val="2"/>
    </font>
    <font>
      <sz val="11"/>
      <color theme="0"/>
      <name val="Arial"/>
      <family val="2"/>
    </font>
    <font>
      <b/>
      <sz val="11"/>
      <color theme="0"/>
      <name val="Arial"/>
      <family val="2"/>
    </font>
    <font>
      <sz val="10"/>
      <color theme="1"/>
      <name val="Arial"/>
      <family val="2"/>
    </font>
    <font>
      <b/>
      <sz val="12"/>
      <color theme="0"/>
      <name val="Arial"/>
      <family val="2"/>
    </font>
    <font>
      <sz val="12"/>
      <color theme="0"/>
      <name val="Arial"/>
      <family val="2"/>
    </font>
    <font>
      <sz val="11"/>
      <color rgb="FFFF0000"/>
      <name val="Calibri"/>
      <family val="2"/>
      <scheme val="minor"/>
    </font>
    <font>
      <b/>
      <sz val="14"/>
      <name val="Calibri"/>
      <family val="2"/>
      <scheme val="minor"/>
    </font>
    <font>
      <b/>
      <sz val="12"/>
      <color rgb="FFFF0000"/>
      <name val="Calibri"/>
      <family val="2"/>
      <scheme val="minor"/>
    </font>
    <font>
      <b/>
      <sz val="11"/>
      <color theme="1"/>
      <name val="Calibri"/>
      <family val="2"/>
      <scheme val="minor"/>
    </font>
    <font>
      <b/>
      <sz val="11"/>
      <color rgb="FF007A37"/>
      <name val="Calibri"/>
      <family val="2"/>
      <scheme val="minor"/>
    </font>
    <font>
      <b/>
      <sz val="11"/>
      <color rgb="FFC40000"/>
      <name val="Calibri"/>
      <family val="2"/>
      <scheme val="minor"/>
    </font>
    <font>
      <b/>
      <sz val="11"/>
      <color rgb="FF8439BD"/>
      <name val="Calibri"/>
      <family val="2"/>
      <scheme val="minor"/>
    </font>
    <font>
      <sz val="10"/>
      <color rgb="FFFF0000"/>
      <name val="Arial"/>
      <family val="2"/>
    </font>
    <font>
      <b/>
      <sz val="9"/>
      <color indexed="81"/>
      <name val="Tahoma"/>
      <family val="2"/>
    </font>
    <font>
      <b/>
      <sz val="10"/>
      <color rgb="FF8439BD"/>
      <name val="Arial"/>
      <family val="2"/>
    </font>
    <font>
      <sz val="11"/>
      <color rgb="FFC40000"/>
      <name val="Calibri"/>
      <family val="2"/>
      <scheme val="minor"/>
    </font>
    <font>
      <sz val="11"/>
      <color rgb="FF007A37"/>
      <name val="Calibri"/>
      <family val="2"/>
      <scheme val="minor"/>
    </font>
    <font>
      <sz val="11"/>
      <color rgb="FF8439BD"/>
      <name val="Calibri"/>
      <family val="2"/>
      <scheme val="minor"/>
    </font>
    <font>
      <b/>
      <sz val="10"/>
      <color rgb="FF00B0F0"/>
      <name val="Arial"/>
      <family val="2"/>
    </font>
    <font>
      <sz val="9"/>
      <name val="Arial"/>
      <family val="2"/>
    </font>
    <font>
      <sz val="14"/>
      <color theme="1" tint="0.14999847407452621"/>
      <name val="Calibri"/>
      <family val="2"/>
      <scheme val="minor"/>
    </font>
    <font>
      <i/>
      <sz val="10"/>
      <name val="Arial"/>
      <family val="2"/>
    </font>
    <font>
      <b/>
      <sz val="10"/>
      <color theme="0" tint="-0.14999847407452621"/>
      <name val="Arial"/>
      <family val="2"/>
    </font>
    <font>
      <sz val="9"/>
      <color theme="0" tint="-0.14999847407452621"/>
      <name val="Arial"/>
      <family val="2"/>
    </font>
    <font>
      <sz val="10"/>
      <color theme="0" tint="-0.14999847407452621"/>
      <name val="Arial"/>
      <family val="2"/>
    </font>
    <font>
      <b/>
      <sz val="11"/>
      <name val="Arial"/>
      <family val="2"/>
    </font>
    <font>
      <b/>
      <sz val="14"/>
      <color theme="8" tint="-0.499984740745262"/>
      <name val="Arial"/>
      <family val="2"/>
    </font>
    <font>
      <b/>
      <sz val="14"/>
      <name val="Arial"/>
      <family val="2"/>
    </font>
    <font>
      <b/>
      <sz val="12"/>
      <color theme="8" tint="-0.499984740745262"/>
      <name val="Arial"/>
      <family val="2"/>
    </font>
    <font>
      <b/>
      <sz val="12"/>
      <color rgb="FFC00000"/>
      <name val="Arial"/>
      <family val="2"/>
    </font>
    <font>
      <b/>
      <sz val="12"/>
      <name val="Arial"/>
      <family val="2"/>
    </font>
    <font>
      <b/>
      <sz val="10"/>
      <name val="Arial"/>
      <family val="2"/>
    </font>
    <font>
      <sz val="10"/>
      <name val="Arial"/>
      <family val="2"/>
    </font>
    <font>
      <i/>
      <sz val="10"/>
      <name val="Arial"/>
      <family val="2"/>
    </font>
    <font>
      <sz val="11"/>
      <color theme="0"/>
      <name val="Calibri"/>
      <family val="2"/>
      <scheme val="minor"/>
    </font>
    <font>
      <b/>
      <sz val="11"/>
      <color theme="1" tint="0.249977111117893"/>
      <name val="Calibri"/>
      <family val="2"/>
      <scheme val="minor"/>
    </font>
    <font>
      <sz val="11"/>
      <color theme="1" tint="0.249977111117893"/>
      <name val="Calibri"/>
      <family val="2"/>
      <scheme val="minor"/>
    </font>
    <font>
      <sz val="11"/>
      <color theme="1" tint="0.34998626667073579"/>
      <name val="Calibri"/>
      <family val="2"/>
      <scheme val="minor"/>
    </font>
    <font>
      <b/>
      <sz val="11"/>
      <color theme="1" tint="0.34998626667073579"/>
      <name val="Calibri"/>
      <family val="2"/>
      <scheme val="minor"/>
    </font>
    <font>
      <i/>
      <sz val="11"/>
      <color theme="1" tint="0.249977111117893"/>
      <name val="Calibri"/>
      <family val="2"/>
      <scheme val="minor"/>
    </font>
    <font>
      <b/>
      <sz val="11"/>
      <name val="Calibri"/>
      <family val="2"/>
      <scheme val="minor"/>
    </font>
    <font>
      <b/>
      <sz val="11"/>
      <color theme="0"/>
      <name val="Calibri"/>
      <family val="2"/>
      <scheme val="minor"/>
    </font>
    <font>
      <b/>
      <sz val="11"/>
      <color rgb="FFC00000"/>
      <name val="Calibri"/>
      <family val="2"/>
      <scheme val="minor"/>
    </font>
    <font>
      <b/>
      <sz val="11"/>
      <color theme="1" tint="0.14999847407452621"/>
      <name val="Calibri"/>
      <family val="2"/>
      <scheme val="minor"/>
    </font>
    <font>
      <sz val="11"/>
      <color theme="1" tint="0.14999847407452621"/>
      <name val="Calibri"/>
      <family val="2"/>
      <scheme val="minor"/>
    </font>
    <font>
      <b/>
      <sz val="11"/>
      <color theme="8" tint="-0.499984740745262"/>
      <name val="Calibri"/>
      <family val="2"/>
      <scheme val="minor"/>
    </font>
    <font>
      <b/>
      <sz val="11"/>
      <color theme="8" tint="0.79998168889431442"/>
      <name val="Calibri"/>
      <family val="2"/>
      <scheme val="minor"/>
    </font>
    <font>
      <b/>
      <sz val="11"/>
      <color theme="8" tint="-0.249977111117893"/>
      <name val="Calibri"/>
      <family val="2"/>
      <scheme val="minor"/>
    </font>
    <font>
      <sz val="11"/>
      <color theme="8" tint="0.79998168889431442"/>
      <name val="Calibri"/>
      <family val="2"/>
      <scheme val="minor"/>
    </font>
    <font>
      <sz val="10"/>
      <color rgb="FF7030A0"/>
      <name val="Arial"/>
      <family val="2"/>
    </font>
    <font>
      <b/>
      <sz val="8"/>
      <color rgb="FFFF0000"/>
      <name val="Calibri"/>
      <family val="2"/>
      <scheme val="minor"/>
    </font>
    <font>
      <b/>
      <sz val="14"/>
      <color rgb="FFFF0000"/>
      <name val="Calibri"/>
      <family val="2"/>
      <scheme val="minor"/>
    </font>
    <font>
      <b/>
      <sz val="10"/>
      <color rgb="FFC00000"/>
      <name val="Arial"/>
      <family val="2"/>
    </font>
    <font>
      <sz val="10"/>
      <color rgb="FFC00000"/>
      <name val="Arial"/>
      <family val="2"/>
    </font>
    <font>
      <i/>
      <sz val="11"/>
      <color rgb="FFFF0000"/>
      <name val="Calibri"/>
      <family val="2"/>
      <scheme val="minor"/>
    </font>
    <font>
      <b/>
      <i/>
      <sz val="11"/>
      <color rgb="FFFF0000"/>
      <name val="Calibri"/>
      <family val="2"/>
      <scheme val="minor"/>
    </font>
    <font>
      <sz val="11"/>
      <color theme="0" tint="-0.499984740745262"/>
      <name val="Calibri"/>
      <family val="2"/>
      <scheme val="minor"/>
    </font>
    <font>
      <b/>
      <sz val="12"/>
      <name val="Calibri"/>
      <family val="2"/>
      <scheme val="minor"/>
    </font>
    <font>
      <b/>
      <sz val="10"/>
      <color theme="9" tint="-0.249977111117893"/>
      <name val="Arial"/>
      <family val="2"/>
    </font>
    <font>
      <b/>
      <sz val="10"/>
      <color theme="6" tint="-0.499984740745262"/>
      <name val="Arial"/>
      <family val="2"/>
    </font>
    <font>
      <sz val="11"/>
      <color theme="9" tint="-0.249977111117893"/>
      <name val="Calibri"/>
      <family val="2"/>
      <scheme val="minor"/>
    </font>
    <font>
      <sz val="11"/>
      <color rgb="FFC00000"/>
      <name val="Calibri"/>
      <family val="2"/>
      <scheme val="minor"/>
    </font>
    <font>
      <b/>
      <sz val="12"/>
      <name val="Calibri"/>
      <family val="2"/>
    </font>
    <font>
      <b/>
      <sz val="10"/>
      <color rgb="FF00B050"/>
      <name val="Arial"/>
      <family val="2"/>
    </font>
    <font>
      <b/>
      <sz val="10"/>
      <color theme="9" tint="-0.499984740745262"/>
      <name val="Arial"/>
      <family val="2"/>
    </font>
    <font>
      <b/>
      <sz val="10"/>
      <color rgb="FF0070C0"/>
      <name val="Arial"/>
      <family val="2"/>
    </font>
    <font>
      <sz val="10"/>
      <color theme="1" tint="0.249977111117893"/>
      <name val="Calibri"/>
      <family val="2"/>
      <scheme val="minor"/>
    </font>
    <font>
      <b/>
      <sz val="10"/>
      <color theme="8" tint="0.79998168889431442"/>
      <name val="Calibri"/>
      <family val="2"/>
      <scheme val="minor"/>
    </font>
    <font>
      <b/>
      <sz val="10"/>
      <color rgb="FF92D050"/>
      <name val="Arial"/>
      <family val="2"/>
    </font>
    <font>
      <sz val="8"/>
      <name val="Arial"/>
      <family val="2"/>
    </font>
    <font>
      <b/>
      <sz val="10"/>
      <color theme="6"/>
      <name val="Arial"/>
      <family val="2"/>
    </font>
    <font>
      <b/>
      <sz val="11"/>
      <color rgb="FF7030A0"/>
      <name val="Calibri"/>
      <family val="2"/>
      <scheme val="minor"/>
    </font>
    <font>
      <sz val="10"/>
      <color theme="1" tint="0.14999847407452621"/>
      <name val="Calibri"/>
      <family val="2"/>
      <scheme val="minor"/>
    </font>
    <font>
      <sz val="10"/>
      <name val="Calibri"/>
      <family val="2"/>
      <scheme val="minor"/>
    </font>
    <font>
      <sz val="8"/>
      <color theme="1" tint="0.249977111117893"/>
      <name val="Calibri"/>
      <family val="2"/>
      <scheme val="minor"/>
    </font>
    <font>
      <b/>
      <sz val="10"/>
      <color theme="1" tint="0.249977111117893"/>
      <name val="Calibri"/>
      <family val="2"/>
      <scheme val="minor"/>
    </font>
    <font>
      <b/>
      <sz val="8"/>
      <color theme="1" tint="0.249977111117893"/>
      <name val="Calibri"/>
      <family val="2"/>
      <scheme val="minor"/>
    </font>
    <font>
      <b/>
      <sz val="10"/>
      <color theme="1" tint="0.14999847407452621"/>
      <name val="Calibri"/>
      <family val="2"/>
      <scheme val="minor"/>
    </font>
    <font>
      <b/>
      <sz val="12"/>
      <color theme="1" tint="0.249977111117893"/>
      <name val="Calibri"/>
      <family val="2"/>
      <scheme val="minor"/>
    </font>
    <font>
      <b/>
      <sz val="12"/>
      <color rgb="FFFF0000"/>
      <name val="Arial"/>
      <family val="2"/>
    </font>
    <font>
      <b/>
      <sz val="11"/>
      <color theme="7" tint="-0.249977111117893"/>
      <name val="Calibri"/>
      <family val="2"/>
      <scheme val="minor"/>
    </font>
  </fonts>
  <fills count="31">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AEEF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6" tint="0.59999389629810485"/>
        <bgColor indexed="64"/>
      </patternFill>
    </fill>
    <fill>
      <patternFill patternType="solid">
        <fgColor theme="8" tint="0.59999389629810485"/>
        <bgColor auto="1"/>
      </patternFill>
    </fill>
    <fill>
      <patternFill patternType="solid">
        <fgColor theme="8" tint="0.59999389629810485"/>
        <bgColor theme="0"/>
      </patternFill>
    </fill>
    <fill>
      <patternFill patternType="solid">
        <fgColor theme="8" tint="0.59996337778862885"/>
        <bgColor theme="8" tint="0.39994506668294322"/>
      </patternFill>
    </fill>
    <fill>
      <patternFill patternType="solid">
        <fgColor theme="3" tint="0.399975585192419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00CC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top style="thin">
        <color indexed="64"/>
      </top>
      <bottom style="thin">
        <color auto="1"/>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auto="1"/>
      </top>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auto="1"/>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166" fontId="4" fillId="0" borderId="0" applyFont="0" applyFill="0" applyBorder="0" applyAlignment="0" applyProtection="0"/>
    <xf numFmtId="9" fontId="4"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cellStyleXfs>
  <cellXfs count="1192">
    <xf numFmtId="0" fontId="0" fillId="0" borderId="0" xfId="0"/>
    <xf numFmtId="166" fontId="8" fillId="5" borderId="0" xfId="0" applyNumberFormat="1" applyFont="1" applyFill="1" applyAlignment="1">
      <alignment horizontal="center" vertical="center" wrapText="1"/>
    </xf>
    <xf numFmtId="0" fontId="8" fillId="5" borderId="0" xfId="0" applyFont="1" applyFill="1" applyAlignment="1">
      <alignment horizontal="center" vertical="center" wrapText="1"/>
    </xf>
    <xf numFmtId="2" fontId="8" fillId="5" borderId="0" xfId="0" applyNumberFormat="1" applyFont="1" applyFill="1" applyAlignment="1">
      <alignment horizontal="center" vertical="center" wrapText="1"/>
    </xf>
    <xf numFmtId="169" fontId="8" fillId="5" borderId="0" xfId="0" applyNumberFormat="1" applyFont="1" applyFill="1" applyAlignment="1">
      <alignment horizontal="center" vertical="center" wrapText="1"/>
    </xf>
    <xf numFmtId="166" fontId="8" fillId="5" borderId="0" xfId="0" applyNumberFormat="1" applyFont="1" applyFill="1" applyAlignment="1">
      <alignment horizontal="center" vertical="center"/>
    </xf>
    <xf numFmtId="1" fontId="8" fillId="5" borderId="0" xfId="0" applyNumberFormat="1" applyFont="1" applyFill="1" applyAlignment="1">
      <alignment horizontal="center" vertical="center" wrapText="1"/>
    </xf>
    <xf numFmtId="0" fontId="10" fillId="5" borderId="0" xfId="0" applyFont="1" applyFill="1" applyAlignment="1">
      <alignment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0" fontId="10" fillId="5" borderId="0" xfId="0" applyFont="1" applyFill="1" applyAlignment="1">
      <alignment horizontal="center" vertical="center" wrapText="1"/>
    </xf>
    <xf numFmtId="166" fontId="8" fillId="0" borderId="0" xfId="0" applyNumberFormat="1" applyFont="1" applyAlignment="1">
      <alignment horizontal="center" vertical="center" wrapText="1"/>
    </xf>
    <xf numFmtId="2" fontId="8" fillId="0" borderId="0" xfId="0" applyNumberFormat="1" applyFont="1" applyAlignment="1">
      <alignment horizontal="center" vertical="center" wrapText="1"/>
    </xf>
    <xf numFmtId="169" fontId="8" fillId="0" borderId="0" xfId="0" applyNumberFormat="1" applyFont="1" applyAlignment="1">
      <alignment horizontal="center" vertical="center" wrapText="1"/>
    </xf>
    <xf numFmtId="166" fontId="8" fillId="0" borderId="0" xfId="0" applyNumberFormat="1" applyFont="1" applyAlignment="1">
      <alignment horizontal="center" vertical="center"/>
    </xf>
    <xf numFmtId="9" fontId="9" fillId="6" borderId="0" xfId="0" applyNumberFormat="1" applyFont="1" applyFill="1" applyAlignment="1">
      <alignment horizontal="center" vertical="center"/>
    </xf>
    <xf numFmtId="0" fontId="8" fillId="2" borderId="0" xfId="0" applyFont="1" applyFill="1" applyAlignment="1">
      <alignment vertical="top" wrapText="1"/>
    </xf>
    <xf numFmtId="0" fontId="8" fillId="2" borderId="0" xfId="0" applyFont="1" applyFill="1" applyAlignment="1">
      <alignment horizontal="center" vertical="top" wrapText="1"/>
    </xf>
    <xf numFmtId="0" fontId="16" fillId="2" borderId="0" xfId="0" applyFont="1" applyFill="1"/>
    <xf numFmtId="2" fontId="8" fillId="2" borderId="0" xfId="0" applyNumberFormat="1" applyFont="1" applyFill="1" applyAlignment="1">
      <alignment horizontal="center" vertical="top" wrapText="1"/>
    </xf>
    <xf numFmtId="169" fontId="8" fillId="2" borderId="0" xfId="0" applyNumberFormat="1" applyFont="1" applyFill="1" applyAlignment="1">
      <alignment horizontal="center" vertical="top" wrapText="1"/>
    </xf>
    <xf numFmtId="169" fontId="8" fillId="2" borderId="0" xfId="0" applyNumberFormat="1" applyFont="1" applyFill="1" applyAlignment="1">
      <alignment horizontal="center"/>
    </xf>
    <xf numFmtId="0" fontId="8" fillId="6" borderId="0" xfId="0" applyFont="1" applyFill="1" applyAlignment="1">
      <alignment horizontal="center" vertical="top" wrapText="1"/>
    </xf>
    <xf numFmtId="0" fontId="16" fillId="6" borderId="0" xfId="0" applyFont="1" applyFill="1"/>
    <xf numFmtId="0" fontId="9" fillId="6" borderId="0" xfId="0" applyFont="1" applyFill="1" applyAlignment="1">
      <alignment vertical="top" wrapText="1"/>
    </xf>
    <xf numFmtId="166" fontId="9" fillId="6" borderId="0" xfId="0" applyNumberFormat="1" applyFont="1" applyFill="1" applyAlignment="1">
      <alignment horizontal="center" vertical="center"/>
    </xf>
    <xf numFmtId="0" fontId="22" fillId="3" borderId="0" xfId="0" applyFont="1" applyFill="1" applyAlignment="1">
      <alignment vertical="center"/>
    </xf>
    <xf numFmtId="1" fontId="10" fillId="5" borderId="0" xfId="0" applyNumberFormat="1" applyFont="1" applyFill="1" applyAlignment="1">
      <alignment horizontal="center" vertical="center" wrapText="1"/>
    </xf>
    <xf numFmtId="0" fontId="16" fillId="3" borderId="0" xfId="0" applyFont="1" applyFill="1" applyAlignment="1">
      <alignment vertical="center" wrapText="1"/>
    </xf>
    <xf numFmtId="1" fontId="16" fillId="3" borderId="0" xfId="0" applyNumberFormat="1" applyFont="1" applyFill="1" applyAlignment="1">
      <alignment horizontal="center" vertical="center"/>
    </xf>
    <xf numFmtId="0" fontId="8" fillId="3" borderId="0" xfId="0" applyFont="1" applyFill="1" applyAlignment="1">
      <alignment vertical="center" wrapText="1"/>
    </xf>
    <xf numFmtId="1" fontId="8" fillId="3" borderId="0" xfId="0" applyNumberFormat="1" applyFont="1" applyFill="1" applyAlignment="1">
      <alignment horizontal="center" vertical="center" wrapText="1"/>
    </xf>
    <xf numFmtId="0" fontId="16" fillId="3" borderId="0" xfId="0" applyFont="1" applyFill="1" applyAlignment="1">
      <alignment vertical="center"/>
    </xf>
    <xf numFmtId="1" fontId="14" fillId="4" borderId="1" xfId="0" applyNumberFormat="1" applyFont="1" applyFill="1" applyBorder="1" applyAlignment="1">
      <alignment horizontal="center" vertical="center" wrapText="1"/>
    </xf>
    <xf numFmtId="1" fontId="9" fillId="0" borderId="0" xfId="0" applyNumberFormat="1" applyFont="1" applyAlignment="1">
      <alignment horizontal="center" vertical="center" wrapText="1"/>
    </xf>
    <xf numFmtId="0" fontId="12" fillId="5" borderId="0" xfId="0" applyFont="1" applyFill="1" applyAlignment="1">
      <alignment vertical="center" wrapText="1"/>
    </xf>
    <xf numFmtId="168" fontId="23" fillId="2"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9" fillId="6" borderId="0" xfId="0" applyFont="1" applyFill="1" applyAlignment="1">
      <alignment horizontal="center" vertical="center"/>
    </xf>
    <xf numFmtId="9" fontId="9" fillId="6" borderId="0" xfId="2" applyFont="1" applyFill="1" applyAlignment="1">
      <alignment horizontal="center" vertical="center" wrapText="1"/>
    </xf>
    <xf numFmtId="0" fontId="11" fillId="2" borderId="0" xfId="0" applyFont="1" applyFill="1" applyAlignment="1">
      <alignment vertical="center"/>
    </xf>
    <xf numFmtId="0" fontId="10" fillId="2" borderId="0" xfId="0" applyFont="1" applyFill="1" applyAlignment="1">
      <alignment vertical="center"/>
    </xf>
    <xf numFmtId="167" fontId="10" fillId="2" borderId="0" xfId="0" applyNumberFormat="1" applyFont="1" applyFill="1" applyAlignment="1">
      <alignment vertical="center"/>
    </xf>
    <xf numFmtId="169" fontId="11" fillId="2" borderId="0" xfId="0" applyNumberFormat="1" applyFont="1" applyFill="1" applyAlignment="1">
      <alignment vertical="center"/>
    </xf>
    <xf numFmtId="168" fontId="11" fillId="2" borderId="0" xfId="0" applyNumberFormat="1" applyFont="1" applyFill="1" applyAlignment="1">
      <alignment vertical="center"/>
    </xf>
    <xf numFmtId="169" fontId="10" fillId="2" borderId="0" xfId="0" applyNumberFormat="1" applyFont="1" applyFill="1" applyAlignment="1">
      <alignment horizontal="center" vertical="center"/>
    </xf>
    <xf numFmtId="166" fontId="11" fillId="2" borderId="0" xfId="0" applyNumberFormat="1" applyFont="1" applyFill="1" applyAlignment="1">
      <alignment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vertical="center"/>
    </xf>
    <xf numFmtId="0" fontId="2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horizontal="center" vertical="center"/>
    </xf>
    <xf numFmtId="164" fontId="11" fillId="2" borderId="0" xfId="0" applyNumberFormat="1" applyFont="1" applyFill="1" applyAlignment="1">
      <alignment vertical="center"/>
    </xf>
    <xf numFmtId="166" fontId="11" fillId="2" borderId="0" xfId="1" applyFont="1" applyFill="1" applyAlignment="1">
      <alignment vertical="center"/>
    </xf>
    <xf numFmtId="0" fontId="12" fillId="5" borderId="0" xfId="0" applyFont="1" applyFill="1" applyAlignment="1">
      <alignment horizontal="center" vertical="center" wrapText="1"/>
    </xf>
    <xf numFmtId="0" fontId="11" fillId="2" borderId="0" xfId="3" applyFont="1" applyFill="1" applyAlignment="1">
      <alignment vertical="center"/>
    </xf>
    <xf numFmtId="0" fontId="11" fillId="2" borderId="0" xfId="3" applyFont="1" applyFill="1" applyAlignment="1">
      <alignment horizontal="center" vertical="center"/>
    </xf>
    <xf numFmtId="0" fontId="9" fillId="6" borderId="0" xfId="3" applyFont="1" applyFill="1" applyAlignment="1">
      <alignment horizontal="left" vertical="center" wrapText="1"/>
    </xf>
    <xf numFmtId="0" fontId="8" fillId="6" borderId="0" xfId="3" applyFont="1" applyFill="1" applyAlignment="1">
      <alignment horizontal="center" vertical="center" wrapText="1"/>
    </xf>
    <xf numFmtId="0" fontId="16" fillId="6" borderId="0" xfId="3" applyFont="1" applyFill="1" applyAlignment="1">
      <alignment horizontal="center" vertical="center"/>
    </xf>
    <xf numFmtId="0" fontId="27" fillId="6" borderId="0" xfId="3" applyFont="1" applyFill="1" applyAlignment="1">
      <alignment horizontal="center" vertical="center"/>
    </xf>
    <xf numFmtId="166" fontId="9" fillId="6" borderId="0" xfId="3" applyNumberFormat="1" applyFont="1" applyFill="1" applyAlignment="1">
      <alignment horizontal="center" vertical="center" wrapText="1"/>
    </xf>
    <xf numFmtId="167" fontId="28" fillId="2" borderId="0" xfId="3" applyNumberFormat="1" applyFont="1" applyFill="1" applyAlignment="1">
      <alignment vertical="center"/>
    </xf>
    <xf numFmtId="167" fontId="11" fillId="2" borderId="0" xfId="3" applyNumberFormat="1" applyFont="1" applyFill="1" applyAlignment="1">
      <alignment vertical="center"/>
    </xf>
    <xf numFmtId="0" fontId="12" fillId="2" borderId="0" xfId="3" applyFont="1" applyFill="1" applyAlignment="1">
      <alignment horizontal="center" vertical="center" wrapText="1"/>
    </xf>
    <xf numFmtId="9" fontId="12" fillId="2" borderId="0" xfId="0" applyNumberFormat="1" applyFont="1" applyFill="1" applyAlignment="1">
      <alignment horizontal="center" vertical="center" wrapText="1"/>
    </xf>
    <xf numFmtId="166" fontId="28" fillId="2" borderId="0" xfId="0" applyNumberFormat="1" applyFont="1" applyFill="1" applyAlignment="1">
      <alignment vertical="center"/>
    </xf>
    <xf numFmtId="0" fontId="28" fillId="2" borderId="0" xfId="3" applyFont="1" applyFill="1" applyAlignment="1">
      <alignment vertical="center" wrapText="1"/>
    </xf>
    <xf numFmtId="0" fontId="11" fillId="2" borderId="0" xfId="3" applyFont="1" applyFill="1" applyAlignment="1">
      <alignment vertical="center" wrapText="1"/>
    </xf>
    <xf numFmtId="0" fontId="11" fillId="2" borderId="0" xfId="3" applyFont="1" applyFill="1" applyAlignment="1">
      <alignment horizontal="center" vertical="center" wrapText="1"/>
    </xf>
    <xf numFmtId="167" fontId="11" fillId="2" borderId="0" xfId="3" applyNumberFormat="1" applyFont="1" applyFill="1" applyAlignment="1">
      <alignment vertical="center" wrapText="1"/>
    </xf>
    <xf numFmtId="9" fontId="11" fillId="2" borderId="0" xfId="3" applyNumberFormat="1" applyFont="1" applyFill="1" applyAlignment="1">
      <alignment vertical="center" wrapText="1"/>
    </xf>
    <xf numFmtId="0" fontId="8" fillId="5" borderId="0" xfId="3" applyFont="1" applyFill="1" applyAlignment="1">
      <alignment horizontal="center" vertical="center" wrapText="1"/>
    </xf>
    <xf numFmtId="167" fontId="11" fillId="3" borderId="0" xfId="3" applyNumberFormat="1" applyFont="1" applyFill="1" applyAlignment="1">
      <alignment vertical="center"/>
    </xf>
    <xf numFmtId="169" fontId="11" fillId="2" borderId="0" xfId="3" applyNumberFormat="1" applyFont="1" applyFill="1" applyAlignment="1">
      <alignment vertical="center"/>
    </xf>
    <xf numFmtId="169" fontId="10" fillId="2" borderId="0" xfId="3" applyNumberFormat="1" applyFont="1" applyFill="1" applyAlignment="1">
      <alignment vertical="center"/>
    </xf>
    <xf numFmtId="166" fontId="12" fillId="0" borderId="0" xfId="0" applyNumberFormat="1" applyFont="1" applyAlignment="1">
      <alignment vertical="center"/>
    </xf>
    <xf numFmtId="166" fontId="28" fillId="0" borderId="0" xfId="0" applyNumberFormat="1" applyFont="1" applyAlignment="1">
      <alignment vertical="center"/>
    </xf>
    <xf numFmtId="0" fontId="12" fillId="0" borderId="0" xfId="0" applyFont="1" applyAlignment="1">
      <alignment vertical="center" wrapText="1"/>
    </xf>
    <xf numFmtId="0" fontId="28" fillId="0" borderId="0" xfId="0" applyFont="1" applyAlignment="1">
      <alignment vertical="center"/>
    </xf>
    <xf numFmtId="0" fontId="8" fillId="0" borderId="0" xfId="0" applyFont="1" applyAlignment="1">
      <alignment vertical="center"/>
    </xf>
    <xf numFmtId="0" fontId="12" fillId="3" borderId="0" xfId="3" applyFont="1" applyFill="1" applyAlignment="1">
      <alignment vertical="center" wrapText="1"/>
    </xf>
    <xf numFmtId="0" fontId="28" fillId="3" borderId="0" xfId="3" applyFont="1" applyFill="1" applyAlignment="1">
      <alignment vertical="center"/>
    </xf>
    <xf numFmtId="167" fontId="28" fillId="3" borderId="0" xfId="3" applyNumberFormat="1" applyFont="1" applyFill="1" applyAlignment="1">
      <alignment vertical="center"/>
    </xf>
    <xf numFmtId="0" fontId="12" fillId="4" borderId="1" xfId="3" applyFont="1" applyFill="1" applyBorder="1" applyAlignment="1">
      <alignment vertical="center" wrapText="1"/>
    </xf>
    <xf numFmtId="0" fontId="9" fillId="6" borderId="0" xfId="3" applyFont="1" applyFill="1" applyAlignment="1">
      <alignment vertical="center" wrapText="1"/>
    </xf>
    <xf numFmtId="0" fontId="9" fillId="6" borderId="0" xfId="3" applyFont="1" applyFill="1" applyAlignment="1">
      <alignment horizontal="center" vertical="center" wrapText="1"/>
    </xf>
    <xf numFmtId="0" fontId="23" fillId="2" borderId="1" xfId="3" applyFont="1" applyFill="1" applyBorder="1" applyAlignment="1">
      <alignment horizontal="center" vertical="center" wrapText="1"/>
    </xf>
    <xf numFmtId="0" fontId="11" fillId="3" borderId="0" xfId="3" applyFont="1" applyFill="1" applyAlignment="1">
      <alignment vertical="center"/>
    </xf>
    <xf numFmtId="0" fontId="11" fillId="3" borderId="0" xfId="3" applyFont="1" applyFill="1" applyAlignment="1">
      <alignment horizontal="center" vertical="center"/>
    </xf>
    <xf numFmtId="167" fontId="14" fillId="4" borderId="1" xfId="3" applyNumberFormat="1" applyFont="1" applyFill="1" applyBorder="1" applyAlignment="1">
      <alignment vertical="center"/>
    </xf>
    <xf numFmtId="0" fontId="25" fillId="3" borderId="0" xfId="3" applyFont="1" applyFill="1" applyAlignment="1">
      <alignment horizontal="center" vertical="center" wrapText="1"/>
    </xf>
    <xf numFmtId="0" fontId="14" fillId="3" borderId="6" xfId="3" applyFont="1" applyFill="1" applyBorder="1" applyAlignment="1">
      <alignment vertical="center" wrapText="1"/>
    </xf>
    <xf numFmtId="0" fontId="24" fillId="3" borderId="6" xfId="3" applyFont="1" applyFill="1" applyBorder="1" applyAlignment="1">
      <alignment horizontal="center" vertical="center" wrapText="1"/>
    </xf>
    <xf numFmtId="166" fontId="9" fillId="2" borderId="0" xfId="0" applyNumberFormat="1" applyFont="1" applyFill="1" applyAlignment="1">
      <alignment horizontal="center" vertical="center"/>
    </xf>
    <xf numFmtId="0" fontId="30" fillId="5" borderId="1" xfId="3" applyFont="1" applyFill="1" applyBorder="1" applyAlignment="1">
      <alignment horizontal="center" vertical="center" wrapText="1"/>
    </xf>
    <xf numFmtId="9" fontId="14" fillId="2" borderId="0" xfId="0" applyNumberFormat="1" applyFont="1" applyFill="1" applyAlignment="1">
      <alignment horizontal="center" vertical="center" wrapText="1"/>
    </xf>
    <xf numFmtId="0" fontId="16" fillId="2" borderId="0" xfId="0" applyFont="1" applyFill="1" applyAlignment="1">
      <alignment vertical="center"/>
    </xf>
    <xf numFmtId="0" fontId="8" fillId="2" borderId="0" xfId="0" applyFont="1" applyFill="1" applyAlignment="1">
      <alignment vertical="center"/>
    </xf>
    <xf numFmtId="167" fontId="8" fillId="2" borderId="0" xfId="0" applyNumberFormat="1" applyFont="1" applyFill="1" applyAlignment="1">
      <alignment vertical="center"/>
    </xf>
    <xf numFmtId="169" fontId="16" fillId="2" borderId="0" xfId="0" applyNumberFormat="1" applyFont="1" applyFill="1" applyAlignment="1">
      <alignment vertical="center"/>
    </xf>
    <xf numFmtId="168" fontId="16" fillId="2" borderId="0" xfId="0" applyNumberFormat="1" applyFont="1" applyFill="1" applyAlignment="1">
      <alignment vertical="center"/>
    </xf>
    <xf numFmtId="0" fontId="28" fillId="2" borderId="0" xfId="0" applyFont="1" applyFill="1" applyAlignment="1">
      <alignment vertical="center"/>
    </xf>
    <xf numFmtId="169" fontId="12" fillId="2" borderId="0" xfId="0" applyNumberFormat="1" applyFont="1" applyFill="1" applyAlignment="1">
      <alignment vertical="center"/>
    </xf>
    <xf numFmtId="166" fontId="8" fillId="2" borderId="0" xfId="0" applyNumberFormat="1" applyFont="1" applyFill="1" applyAlignment="1">
      <alignment vertical="center"/>
    </xf>
    <xf numFmtId="167" fontId="16" fillId="2" borderId="0" xfId="0" applyNumberFormat="1" applyFont="1" applyFill="1" applyAlignment="1">
      <alignment vertical="center"/>
    </xf>
    <xf numFmtId="0" fontId="33" fillId="2" borderId="0" xfId="0" applyFont="1" applyFill="1" applyAlignment="1">
      <alignment vertical="center"/>
    </xf>
    <xf numFmtId="0" fontId="12" fillId="2" borderId="0" xfId="0" applyFont="1" applyFill="1" applyAlignment="1">
      <alignment vertical="center" wrapText="1"/>
    </xf>
    <xf numFmtId="166" fontId="12" fillId="2" borderId="0" xfId="0" applyNumberFormat="1" applyFont="1" applyFill="1" applyAlignment="1">
      <alignment horizontal="right" vertical="center"/>
    </xf>
    <xf numFmtId="166" fontId="28" fillId="2" borderId="0" xfId="0" applyNumberFormat="1" applyFont="1" applyFill="1" applyAlignment="1">
      <alignment horizontal="right" vertical="center"/>
    </xf>
    <xf numFmtId="164" fontId="16" fillId="2" borderId="0" xfId="0" applyNumberFormat="1" applyFont="1" applyFill="1" applyAlignment="1">
      <alignment vertical="center"/>
    </xf>
    <xf numFmtId="166" fontId="16" fillId="2" borderId="0" xfId="1" applyFont="1" applyFill="1" applyAlignment="1">
      <alignment vertical="center"/>
    </xf>
    <xf numFmtId="170" fontId="16" fillId="2" borderId="0" xfId="0" applyNumberFormat="1" applyFont="1" applyFill="1" applyAlignment="1">
      <alignment vertical="center"/>
    </xf>
    <xf numFmtId="0" fontId="31" fillId="2" borderId="0" xfId="0" applyFont="1" applyFill="1" applyAlignment="1">
      <alignment vertical="top" wrapText="1"/>
    </xf>
    <xf numFmtId="0" fontId="31" fillId="2" borderId="0" xfId="0" applyFont="1" applyFill="1" applyAlignment="1">
      <alignment horizontal="center" vertical="top" wrapText="1"/>
    </xf>
    <xf numFmtId="0" fontId="32" fillId="2" borderId="0" xfId="0" applyFont="1" applyFill="1" applyAlignment="1">
      <alignment vertical="top" wrapText="1"/>
    </xf>
    <xf numFmtId="0" fontId="31" fillId="2" borderId="0" xfId="0" applyFont="1" applyFill="1"/>
    <xf numFmtId="167" fontId="31" fillId="2" borderId="0" xfId="0" applyNumberFormat="1" applyFont="1" applyFill="1"/>
    <xf numFmtId="0" fontId="32" fillId="2" borderId="0" xfId="0" applyFont="1" applyFill="1"/>
    <xf numFmtId="0" fontId="32" fillId="2" borderId="0" xfId="0" applyFont="1" applyFill="1" applyAlignment="1">
      <alignment horizontal="center"/>
    </xf>
    <xf numFmtId="167" fontId="32" fillId="2" borderId="0" xfId="0" applyNumberFormat="1" applyFont="1" applyFill="1"/>
    <xf numFmtId="0" fontId="34" fillId="2" borderId="0" xfId="0" applyFont="1" applyFill="1" applyAlignment="1">
      <alignment horizontal="center" vertical="top" wrapText="1"/>
    </xf>
    <xf numFmtId="167" fontId="31" fillId="2" borderId="0" xfId="0" applyNumberFormat="1" applyFont="1" applyFill="1" applyAlignment="1">
      <alignment horizontal="center"/>
    </xf>
    <xf numFmtId="0" fontId="35" fillId="2" borderId="0" xfId="0" applyFont="1" applyFill="1" applyAlignment="1">
      <alignment vertical="center"/>
    </xf>
    <xf numFmtId="169" fontId="35" fillId="2" borderId="0" xfId="0" applyNumberFormat="1" applyFont="1" applyFill="1" applyAlignment="1">
      <alignment vertical="center"/>
    </xf>
    <xf numFmtId="168" fontId="35" fillId="2" borderId="0" xfId="0" applyNumberFormat="1" applyFont="1" applyFill="1" applyAlignment="1">
      <alignment vertical="center"/>
    </xf>
    <xf numFmtId="166" fontId="16" fillId="2" borderId="0" xfId="4" applyFont="1" applyFill="1" applyAlignment="1">
      <alignment horizontal="center" vertical="center"/>
    </xf>
    <xf numFmtId="0" fontId="16" fillId="2" borderId="0" xfId="3" applyFont="1" applyFill="1" applyAlignment="1">
      <alignment horizontal="center" vertical="center"/>
    </xf>
    <xf numFmtId="169" fontId="10" fillId="2" borderId="0" xfId="3" applyNumberFormat="1" applyFont="1" applyFill="1" applyAlignment="1">
      <alignment horizontal="left" vertical="center"/>
    </xf>
    <xf numFmtId="0" fontId="10" fillId="2" borderId="0" xfId="3" applyFont="1" applyFill="1" applyAlignment="1">
      <alignment horizontal="left" vertical="center"/>
    </xf>
    <xf numFmtId="0" fontId="8" fillId="2" borderId="0" xfId="3" applyFont="1" applyFill="1" applyAlignment="1">
      <alignment horizontal="center" vertical="center"/>
    </xf>
    <xf numFmtId="2" fontId="16" fillId="2" borderId="0" xfId="3" applyNumberFormat="1" applyFont="1" applyFill="1" applyAlignment="1">
      <alignment horizontal="center" vertical="center"/>
    </xf>
    <xf numFmtId="0" fontId="8" fillId="2" borderId="0" xfId="3" applyFont="1" applyFill="1" applyAlignment="1">
      <alignment horizontal="left" vertical="center" wrapText="1"/>
    </xf>
    <xf numFmtId="0" fontId="8" fillId="2" borderId="0" xfId="3" applyFont="1" applyFill="1" applyAlignment="1">
      <alignment horizontal="right" vertical="center"/>
    </xf>
    <xf numFmtId="0" fontId="16" fillId="2" borderId="0" xfId="3" applyFont="1" applyFill="1" applyAlignment="1">
      <alignment horizontal="left" vertical="center"/>
    </xf>
    <xf numFmtId="0" fontId="16" fillId="2" borderId="0" xfId="3" applyFont="1" applyFill="1" applyAlignment="1">
      <alignment horizontal="right" vertical="center"/>
    </xf>
    <xf numFmtId="169" fontId="16" fillId="2" borderId="0" xfId="3" applyNumberFormat="1" applyFont="1" applyFill="1" applyAlignment="1">
      <alignment horizontal="center" vertical="center"/>
    </xf>
    <xf numFmtId="0" fontId="8" fillId="2" borderId="0" xfId="3" applyFont="1" applyFill="1" applyAlignment="1">
      <alignment horizontal="center" vertical="center" wrapText="1"/>
    </xf>
    <xf numFmtId="0" fontId="8" fillId="2" borderId="0" xfId="3" applyFont="1" applyFill="1" applyAlignment="1">
      <alignment horizontal="left" vertical="center"/>
    </xf>
    <xf numFmtId="2" fontId="8" fillId="2" borderId="0" xfId="3" applyNumberFormat="1" applyFont="1" applyFill="1" applyAlignment="1">
      <alignment horizontal="right" vertical="center"/>
    </xf>
    <xf numFmtId="169" fontId="16" fillId="2" borderId="0" xfId="3" applyNumberFormat="1" applyFont="1" applyFill="1" applyAlignment="1">
      <alignment horizontal="left" vertical="center"/>
    </xf>
    <xf numFmtId="166" fontId="8" fillId="2" borderId="0" xfId="4" applyFont="1" applyFill="1" applyAlignment="1">
      <alignment horizontal="center" vertical="center"/>
    </xf>
    <xf numFmtId="0" fontId="16" fillId="2" borderId="0" xfId="3" applyFont="1" applyFill="1" applyAlignment="1">
      <alignment horizontal="left" vertical="center" wrapText="1"/>
    </xf>
    <xf numFmtId="166" fontId="8" fillId="5" borderId="0" xfId="4" applyFont="1" applyFill="1" applyAlignment="1">
      <alignment horizontal="center" vertical="center"/>
    </xf>
    <xf numFmtId="166" fontId="8" fillId="6" borderId="0" xfId="4" applyFont="1" applyFill="1" applyAlignment="1">
      <alignment horizontal="center" vertical="center" wrapText="1"/>
    </xf>
    <xf numFmtId="9" fontId="9" fillId="6" borderId="0" xfId="3" applyNumberFormat="1" applyFont="1" applyFill="1" applyAlignment="1">
      <alignment horizontal="center" vertical="center" wrapText="1"/>
    </xf>
    <xf numFmtId="166" fontId="16" fillId="2" borderId="0" xfId="4" applyFont="1" applyFill="1" applyAlignment="1">
      <alignment horizontal="center" vertical="center" wrapText="1"/>
    </xf>
    <xf numFmtId="166" fontId="8" fillId="2" borderId="0" xfId="1" applyFont="1" applyFill="1" applyAlignment="1">
      <alignment horizontal="center" vertical="center" wrapText="1"/>
    </xf>
    <xf numFmtId="166" fontId="8" fillId="2" borderId="0" xfId="0" applyNumberFormat="1" applyFont="1" applyFill="1" applyAlignment="1">
      <alignment horizontal="center" vertical="center"/>
    </xf>
    <xf numFmtId="0" fontId="9" fillId="6" borderId="0" xfId="3" applyFont="1" applyFill="1" applyAlignment="1">
      <alignment horizontal="left" vertical="center"/>
    </xf>
    <xf numFmtId="9" fontId="16" fillId="2" borderId="0" xfId="3" applyNumberFormat="1" applyFont="1" applyFill="1" applyAlignment="1">
      <alignment horizontal="center" vertical="center" wrapText="1"/>
    </xf>
    <xf numFmtId="166" fontId="8" fillId="2" borderId="0" xfId="4" applyFont="1" applyFill="1" applyAlignment="1">
      <alignment horizontal="center" vertical="center" wrapText="1"/>
    </xf>
    <xf numFmtId="169" fontId="8" fillId="2" borderId="0" xfId="3" applyNumberFormat="1" applyFont="1" applyFill="1" applyAlignment="1">
      <alignment horizontal="center" vertical="center"/>
    </xf>
    <xf numFmtId="169" fontId="8" fillId="2" borderId="0" xfId="3" applyNumberFormat="1" applyFont="1" applyFill="1" applyAlignment="1">
      <alignment horizontal="left" vertical="center"/>
    </xf>
    <xf numFmtId="166" fontId="9" fillId="6" borderId="0" xfId="1" applyFont="1" applyFill="1" applyAlignment="1">
      <alignment horizontal="center" vertical="center" wrapText="1"/>
    </xf>
    <xf numFmtId="9" fontId="23" fillId="2" borderId="0" xfId="2" applyFont="1" applyFill="1" applyAlignment="1">
      <alignment horizontal="center" vertical="center" wrapText="1"/>
    </xf>
    <xf numFmtId="0" fontId="14" fillId="3" borderId="0" xfId="0" applyFont="1" applyFill="1" applyAlignment="1">
      <alignment horizontal="center" vertical="center"/>
    </xf>
    <xf numFmtId="0" fontId="14" fillId="3" borderId="0" xfId="0" applyFont="1" applyFill="1" applyAlignment="1">
      <alignment vertical="center"/>
    </xf>
    <xf numFmtId="1" fontId="30" fillId="3" borderId="0" xfId="0" applyNumberFormat="1" applyFont="1" applyFill="1" applyAlignment="1">
      <alignment horizontal="center" vertical="center"/>
    </xf>
    <xf numFmtId="0" fontId="28" fillId="2" borderId="0" xfId="0" applyFont="1" applyFill="1" applyAlignment="1">
      <alignment horizontal="center"/>
    </xf>
    <xf numFmtId="0" fontId="30" fillId="3" borderId="0" xfId="0" applyFont="1" applyFill="1" applyAlignment="1">
      <alignment vertical="top"/>
    </xf>
    <xf numFmtId="166" fontId="30" fillId="3" borderId="0" xfId="4" applyFont="1" applyFill="1" applyAlignment="1">
      <alignment horizontal="center" vertical="top" wrapText="1"/>
    </xf>
    <xf numFmtId="166" fontId="30" fillId="3" borderId="0" xfId="4" applyFont="1" applyFill="1" applyAlignment="1">
      <alignment horizontal="center"/>
    </xf>
    <xf numFmtId="2" fontId="30" fillId="3" borderId="0" xfId="0" applyNumberFormat="1" applyFont="1" applyFill="1" applyAlignment="1">
      <alignment horizontal="center"/>
    </xf>
    <xf numFmtId="166" fontId="28" fillId="2" borderId="0" xfId="4" applyFont="1" applyFill="1"/>
    <xf numFmtId="0" fontId="28" fillId="2" borderId="0" xfId="0" applyFont="1" applyFill="1"/>
    <xf numFmtId="168" fontId="28" fillId="2" borderId="0" xfId="0" applyNumberFormat="1" applyFont="1" applyFill="1"/>
    <xf numFmtId="0" fontId="12" fillId="2" borderId="0" xfId="0" applyFont="1" applyFill="1" applyAlignment="1">
      <alignment horizontal="left" vertical="top"/>
    </xf>
    <xf numFmtId="0" fontId="28" fillId="2" borderId="0" xfId="0" applyFont="1" applyFill="1" applyAlignment="1">
      <alignment vertical="top"/>
    </xf>
    <xf numFmtId="166" fontId="28" fillId="2" borderId="0" xfId="4" applyFont="1" applyFill="1" applyAlignment="1">
      <alignment horizontal="center" vertical="top" wrapText="1"/>
    </xf>
    <xf numFmtId="169" fontId="28" fillId="2" borderId="0" xfId="0" applyNumberFormat="1" applyFont="1" applyFill="1" applyAlignment="1">
      <alignment horizontal="center"/>
    </xf>
    <xf numFmtId="166" fontId="28" fillId="2" borderId="0" xfId="4" applyFont="1" applyFill="1" applyAlignment="1">
      <alignment horizontal="center"/>
    </xf>
    <xf numFmtId="169" fontId="12" fillId="2" borderId="0" xfId="0" applyNumberFormat="1" applyFont="1" applyFill="1"/>
    <xf numFmtId="0" fontId="12" fillId="2" borderId="0" xfId="0" applyFont="1" applyFill="1"/>
    <xf numFmtId="0" fontId="12" fillId="2" borderId="0" xfId="0" applyFont="1" applyFill="1" applyAlignment="1">
      <alignment horizontal="center"/>
    </xf>
    <xf numFmtId="2" fontId="28" fillId="2" borderId="0" xfId="0" applyNumberFormat="1" applyFont="1" applyFill="1" applyAlignment="1">
      <alignment horizontal="center"/>
    </xf>
    <xf numFmtId="0" fontId="12" fillId="2" borderId="0" xfId="0" applyFont="1" applyFill="1" applyAlignment="1">
      <alignment vertical="top" wrapText="1"/>
    </xf>
    <xf numFmtId="0" fontId="12" fillId="2" borderId="0" xfId="0" applyFont="1" applyFill="1" applyAlignment="1">
      <alignment horizontal="center" vertical="top"/>
    </xf>
    <xf numFmtId="0" fontId="28" fillId="2" borderId="0" xfId="0" applyFont="1" applyFill="1" applyAlignment="1">
      <alignment horizontal="left"/>
    </xf>
    <xf numFmtId="1" fontId="28" fillId="2" borderId="0" xfId="0" applyNumberFormat="1" applyFont="1" applyFill="1" applyAlignment="1">
      <alignment horizontal="center"/>
    </xf>
    <xf numFmtId="0" fontId="12" fillId="2" borderId="0" xfId="0" applyFont="1" applyFill="1" applyAlignment="1">
      <alignment horizontal="left"/>
    </xf>
    <xf numFmtId="2" fontId="12" fillId="2" borderId="0" xfId="0" applyNumberFormat="1" applyFont="1" applyFill="1" applyAlignment="1">
      <alignment horizontal="center" vertical="top"/>
    </xf>
    <xf numFmtId="169" fontId="28" fillId="2" borderId="0" xfId="0" applyNumberFormat="1" applyFont="1" applyFill="1" applyAlignment="1">
      <alignment horizontal="left"/>
    </xf>
    <xf numFmtId="166" fontId="12" fillId="2" borderId="0" xfId="4" applyFont="1" applyFill="1" applyAlignment="1">
      <alignment horizontal="center"/>
    </xf>
    <xf numFmtId="166" fontId="12" fillId="2" borderId="0" xfId="4" applyFont="1" applyFill="1"/>
    <xf numFmtId="168" fontId="12" fillId="2" borderId="0" xfId="0" applyNumberFormat="1" applyFont="1" applyFill="1"/>
    <xf numFmtId="0" fontId="28" fillId="2" borderId="0" xfId="0" applyFont="1" applyFill="1" applyAlignment="1">
      <alignment horizontal="center" vertical="top" wrapText="1"/>
    </xf>
    <xf numFmtId="0" fontId="12" fillId="2" borderId="0" xfId="0" applyFont="1" applyFill="1" applyAlignment="1">
      <alignment horizontal="center" vertical="top" wrapText="1"/>
    </xf>
    <xf numFmtId="0" fontId="9" fillId="6" borderId="0" xfId="0" applyFont="1" applyFill="1" applyAlignment="1">
      <alignment horizontal="center" vertical="top" wrapText="1"/>
    </xf>
    <xf numFmtId="166" fontId="9" fillId="6" borderId="0" xfId="4" applyFont="1" applyFill="1" applyAlignment="1">
      <alignment horizontal="center" vertical="top" wrapText="1"/>
    </xf>
    <xf numFmtId="0" fontId="28" fillId="2" borderId="0" xfId="0" applyFont="1" applyFill="1" applyAlignment="1">
      <alignment vertical="top" wrapText="1"/>
    </xf>
    <xf numFmtId="9" fontId="28" fillId="2" borderId="0" xfId="0" applyNumberFormat="1" applyFont="1" applyFill="1" applyAlignment="1">
      <alignment horizontal="center" vertical="top" wrapText="1"/>
    </xf>
    <xf numFmtId="0" fontId="12" fillId="6" borderId="0" xfId="0" applyFont="1" applyFill="1" applyAlignment="1">
      <alignment horizontal="center" vertical="top" wrapText="1"/>
    </xf>
    <xf numFmtId="0" fontId="28" fillId="6" borderId="0" xfId="0" applyFont="1" applyFill="1" applyAlignment="1">
      <alignment vertical="top" wrapText="1"/>
    </xf>
    <xf numFmtId="0" fontId="28" fillId="6" borderId="0" xfId="0" applyFont="1" applyFill="1"/>
    <xf numFmtId="166" fontId="36" fillId="2" borderId="0" xfId="4" applyFont="1" applyFill="1" applyAlignment="1">
      <alignment horizontal="center" vertical="top" wrapText="1"/>
    </xf>
    <xf numFmtId="9" fontId="28" fillId="2" borderId="0" xfId="5" applyFont="1" applyFill="1" applyAlignment="1">
      <alignment horizontal="center" vertical="top" wrapText="1"/>
    </xf>
    <xf numFmtId="169" fontId="13" fillId="3" borderId="0" xfId="0" applyNumberFormat="1" applyFont="1" applyFill="1"/>
    <xf numFmtId="0" fontId="28" fillId="3" borderId="0" xfId="0" applyFont="1" applyFill="1" applyAlignment="1">
      <alignment horizontal="center"/>
    </xf>
    <xf numFmtId="0" fontId="28" fillId="3" borderId="0" xfId="0" applyFont="1" applyFill="1"/>
    <xf numFmtId="1" fontId="28" fillId="3" borderId="0" xfId="0" applyNumberFormat="1" applyFont="1" applyFill="1" applyAlignment="1">
      <alignment horizontal="center"/>
    </xf>
    <xf numFmtId="169" fontId="28" fillId="2" borderId="0" xfId="0" applyNumberFormat="1" applyFont="1" applyFill="1"/>
    <xf numFmtId="0" fontId="28" fillId="7" borderId="0" xfId="0" applyFont="1" applyFill="1"/>
    <xf numFmtId="166" fontId="28" fillId="7" borderId="0" xfId="0" applyNumberFormat="1" applyFont="1" applyFill="1" applyAlignment="1">
      <alignment horizontal="center"/>
    </xf>
    <xf numFmtId="0" fontId="28" fillId="7" borderId="0" xfId="0" applyFont="1" applyFill="1" applyAlignment="1">
      <alignment horizontal="right"/>
    </xf>
    <xf numFmtId="166" fontId="28" fillId="7" borderId="0" xfId="4" applyFont="1" applyFill="1" applyAlignment="1">
      <alignment horizontal="center"/>
    </xf>
    <xf numFmtId="1" fontId="28" fillId="7" borderId="0" xfId="0" applyNumberFormat="1" applyFont="1" applyFill="1" applyAlignment="1">
      <alignment horizontal="center"/>
    </xf>
    <xf numFmtId="169" fontId="28" fillId="7" borderId="0" xfId="0" applyNumberFormat="1" applyFont="1" applyFill="1" applyAlignment="1">
      <alignment horizontal="center"/>
    </xf>
    <xf numFmtId="169" fontId="28" fillId="2" borderId="0" xfId="0" applyNumberFormat="1" applyFont="1" applyFill="1" applyAlignment="1">
      <alignment horizontal="left" indent="10"/>
    </xf>
    <xf numFmtId="0" fontId="28" fillId="7" borderId="0" xfId="0" applyFont="1" applyFill="1" applyAlignment="1">
      <alignment horizontal="center"/>
    </xf>
    <xf numFmtId="0" fontId="14" fillId="3" borderId="0" xfId="3" applyFont="1" applyFill="1" applyAlignment="1">
      <alignment vertical="top"/>
    </xf>
    <xf numFmtId="0" fontId="30" fillId="3" borderId="0" xfId="3" applyFont="1" applyFill="1" applyAlignment="1">
      <alignment horizontal="center" vertical="center"/>
    </xf>
    <xf numFmtId="166" fontId="30" fillId="3" borderId="0" xfId="4" applyFont="1" applyFill="1" applyAlignment="1">
      <alignment horizontal="center" vertical="center" wrapText="1"/>
    </xf>
    <xf numFmtId="166" fontId="30" fillId="3" borderId="0" xfId="4" applyFont="1" applyFill="1" applyAlignment="1">
      <alignment horizontal="center" vertical="center"/>
    </xf>
    <xf numFmtId="2" fontId="30" fillId="3" borderId="0" xfId="3" applyNumberFormat="1" applyFont="1" applyFill="1" applyAlignment="1">
      <alignment horizontal="center" vertical="center"/>
    </xf>
    <xf numFmtId="0" fontId="27" fillId="2" borderId="0" xfId="0" applyFont="1" applyFill="1" applyAlignment="1">
      <alignment horizontal="center" vertical="center"/>
    </xf>
    <xf numFmtId="0" fontId="8" fillId="3" borderId="0" xfId="0" applyFont="1" applyFill="1" applyAlignment="1">
      <alignment vertical="center"/>
    </xf>
    <xf numFmtId="0" fontId="16" fillId="0" borderId="0" xfId="0" applyFont="1" applyAlignment="1">
      <alignment vertical="center"/>
    </xf>
    <xf numFmtId="167" fontId="8" fillId="0" borderId="0" xfId="0" applyNumberFormat="1" applyFont="1" applyAlignment="1">
      <alignment vertical="center"/>
    </xf>
    <xf numFmtId="169" fontId="16" fillId="0" borderId="0" xfId="0" applyNumberFormat="1" applyFont="1" applyAlignment="1">
      <alignment vertical="center"/>
    </xf>
    <xf numFmtId="168" fontId="16" fillId="0" borderId="0" xfId="0" applyNumberFormat="1" applyFont="1" applyAlignment="1">
      <alignment vertical="center"/>
    </xf>
    <xf numFmtId="169" fontId="12" fillId="0" borderId="0" xfId="0" applyNumberFormat="1" applyFont="1" applyAlignment="1">
      <alignment vertical="center"/>
    </xf>
    <xf numFmtId="1" fontId="28" fillId="0" borderId="0" xfId="0" applyNumberFormat="1" applyFont="1" applyAlignment="1">
      <alignment horizontal="center" vertical="center"/>
    </xf>
    <xf numFmtId="169" fontId="28" fillId="0" borderId="0" xfId="0" applyNumberFormat="1" applyFont="1" applyAlignment="1">
      <alignment vertical="center" wrapText="1"/>
    </xf>
    <xf numFmtId="166" fontId="8" fillId="0" borderId="0" xfId="0" applyNumberFormat="1" applyFont="1" applyAlignment="1">
      <alignment vertical="center"/>
    </xf>
    <xf numFmtId="167" fontId="16" fillId="0" borderId="0" xfId="0" applyNumberFormat="1" applyFont="1" applyAlignment="1">
      <alignment vertical="center"/>
    </xf>
    <xf numFmtId="0" fontId="33" fillId="0" borderId="0" xfId="0" applyFont="1" applyAlignment="1">
      <alignment vertical="center"/>
    </xf>
    <xf numFmtId="2" fontId="28" fillId="0" borderId="0" xfId="0" applyNumberFormat="1" applyFont="1" applyAlignment="1">
      <alignment vertical="center"/>
    </xf>
    <xf numFmtId="0" fontId="16" fillId="0" borderId="0" xfId="0" applyFont="1" applyAlignment="1">
      <alignment horizontal="center" vertical="center"/>
    </xf>
    <xf numFmtId="164" fontId="16" fillId="0" borderId="0" xfId="0" applyNumberFormat="1" applyFont="1" applyAlignment="1">
      <alignment vertical="center"/>
    </xf>
    <xf numFmtId="0" fontId="12" fillId="0" borderId="0" xfId="0" applyFont="1" applyAlignment="1">
      <alignment vertical="center"/>
    </xf>
    <xf numFmtId="166" fontId="16" fillId="0" borderId="0" xfId="1" applyFont="1" applyAlignment="1">
      <alignment vertical="center"/>
    </xf>
    <xf numFmtId="170" fontId="16" fillId="0" borderId="0" xfId="0" applyNumberFormat="1" applyFont="1" applyAlignment="1">
      <alignment vertical="center"/>
    </xf>
    <xf numFmtId="1" fontId="16"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0" borderId="0" xfId="0" applyNumberFormat="1" applyFont="1" applyAlignment="1">
      <alignment vertical="center"/>
    </xf>
    <xf numFmtId="1" fontId="9" fillId="6" borderId="0" xfId="0" applyNumberFormat="1" applyFont="1" applyFill="1" applyAlignment="1">
      <alignment horizontal="center" vertical="center" wrapText="1"/>
    </xf>
    <xf numFmtId="0" fontId="9" fillId="6" borderId="0" xfId="0" applyFont="1" applyFill="1" applyAlignment="1">
      <alignment horizontal="center" vertical="center" wrapText="1"/>
    </xf>
    <xf numFmtId="166" fontId="8" fillId="6" borderId="0" xfId="0" applyNumberFormat="1" applyFont="1" applyFill="1" applyAlignment="1">
      <alignment horizontal="center" vertical="center" wrapText="1"/>
    </xf>
    <xf numFmtId="0" fontId="8" fillId="0" borderId="0" xfId="0" applyFont="1" applyAlignment="1">
      <alignment vertical="center" wrapText="1"/>
    </xf>
    <xf numFmtId="9" fontId="8" fillId="0" borderId="0" xfId="0" applyNumberFormat="1" applyFont="1" applyAlignment="1">
      <alignment horizontal="center" vertical="center" wrapText="1"/>
    </xf>
    <xf numFmtId="0" fontId="9" fillId="6" borderId="0" xfId="0" applyFont="1" applyFill="1" applyAlignment="1">
      <alignment vertical="center" wrapText="1"/>
    </xf>
    <xf numFmtId="1" fontId="8" fillId="4" borderId="1" xfId="0" applyNumberFormat="1" applyFont="1" applyFill="1" applyBorder="1" applyAlignment="1">
      <alignment horizontal="center" vertical="center" wrapText="1"/>
    </xf>
    <xf numFmtId="0" fontId="16" fillId="0" borderId="0" xfId="0" applyFont="1" applyAlignment="1">
      <alignment vertical="center" wrapText="1"/>
    </xf>
    <xf numFmtId="1" fontId="16" fillId="0" borderId="0" xfId="0" applyNumberFormat="1" applyFont="1" applyAlignment="1">
      <alignment horizontal="center" vertical="center" wrapText="1"/>
    </xf>
    <xf numFmtId="169" fontId="8" fillId="0" borderId="0" xfId="0" applyNumberFormat="1" applyFont="1" applyAlignment="1">
      <alignment vertical="center"/>
    </xf>
    <xf numFmtId="0" fontId="16" fillId="5" borderId="0" xfId="3" applyFont="1" applyFill="1" applyAlignment="1">
      <alignment horizontal="center" vertical="center"/>
    </xf>
    <xf numFmtId="0" fontId="27" fillId="5" borderId="0" xfId="3" applyFont="1" applyFill="1" applyAlignment="1">
      <alignment horizontal="center" vertical="center"/>
    </xf>
    <xf numFmtId="166" fontId="9" fillId="5" borderId="0" xfId="3" applyNumberFormat="1" applyFont="1" applyFill="1" applyAlignment="1">
      <alignment horizontal="center" vertical="center" wrapText="1"/>
    </xf>
    <xf numFmtId="9" fontId="9" fillId="5" borderId="0" xfId="2" applyFont="1" applyFill="1" applyAlignment="1">
      <alignment horizontal="center" vertical="center" wrapText="1"/>
    </xf>
    <xf numFmtId="1" fontId="16" fillId="5" borderId="1" xfId="0" applyNumberFormat="1" applyFont="1" applyFill="1" applyBorder="1" applyAlignment="1">
      <alignment horizontal="center" vertical="center" wrapText="1"/>
    </xf>
    <xf numFmtId="0" fontId="14" fillId="4" borderId="1" xfId="0" applyFont="1" applyFill="1" applyBorder="1" applyAlignment="1">
      <alignment horizontal="center" vertical="top" wrapText="1"/>
    </xf>
    <xf numFmtId="0" fontId="32" fillId="3" borderId="0" xfId="0" applyFont="1" applyFill="1"/>
    <xf numFmtId="0" fontId="32" fillId="3" borderId="0" xfId="0" applyFont="1" applyFill="1" applyAlignment="1">
      <alignment horizontal="left" vertical="top" wrapText="1"/>
    </xf>
    <xf numFmtId="0" fontId="32" fillId="3" borderId="0" xfId="0" applyFont="1" applyFill="1" applyAlignment="1">
      <alignment horizontal="left"/>
    </xf>
    <xf numFmtId="0" fontId="31" fillId="3" borderId="0" xfId="0" applyFont="1" applyFill="1" applyAlignment="1">
      <alignment horizontal="left" vertical="top" wrapText="1"/>
    </xf>
    <xf numFmtId="166" fontId="14" fillId="3" borderId="0" xfId="0" applyNumberFormat="1" applyFont="1" applyFill="1" applyAlignment="1">
      <alignment horizontal="center" vertical="center"/>
    </xf>
    <xf numFmtId="169" fontId="8" fillId="2" borderId="0" xfId="0" applyNumberFormat="1" applyFont="1" applyFill="1" applyAlignment="1">
      <alignment horizontal="center" vertical="center"/>
    </xf>
    <xf numFmtId="166" fontId="16" fillId="2" borderId="0" xfId="0" applyNumberFormat="1" applyFont="1" applyFill="1" applyAlignment="1">
      <alignment horizontal="center" vertical="center"/>
    </xf>
    <xf numFmtId="0" fontId="8" fillId="2" borderId="0" xfId="0" applyFont="1" applyFill="1" applyAlignment="1">
      <alignment vertical="center" wrapText="1"/>
    </xf>
    <xf numFmtId="0" fontId="16" fillId="2" borderId="0" xfId="0" applyFont="1" applyFill="1" applyAlignment="1">
      <alignment horizontal="center" vertical="center"/>
    </xf>
    <xf numFmtId="0" fontId="8" fillId="2" borderId="0" xfId="0" applyFont="1" applyFill="1" applyAlignment="1">
      <alignment horizontal="center" vertical="center" wrapText="1"/>
    </xf>
    <xf numFmtId="166" fontId="8" fillId="2" borderId="0" xfId="0" applyNumberFormat="1" applyFont="1" applyFill="1" applyAlignment="1">
      <alignment horizontal="center" vertical="center" wrapText="1"/>
    </xf>
    <xf numFmtId="169" fontId="16" fillId="2" borderId="0" xfId="0" applyNumberFormat="1" applyFont="1" applyFill="1" applyAlignment="1">
      <alignment horizontal="center" vertical="center"/>
    </xf>
    <xf numFmtId="0" fontId="16" fillId="2" borderId="0" xfId="0" applyFont="1" applyFill="1" applyAlignment="1">
      <alignment vertical="top" wrapText="1"/>
    </xf>
    <xf numFmtId="166" fontId="16" fillId="2" borderId="0" xfId="0" applyNumberFormat="1" applyFont="1" applyFill="1" applyAlignment="1">
      <alignment horizontal="center" vertical="top" wrapText="1"/>
    </xf>
    <xf numFmtId="9" fontId="8" fillId="2" borderId="0" xfId="0" applyNumberFormat="1" applyFont="1" applyFill="1" applyAlignment="1">
      <alignment horizontal="center" vertical="top" wrapText="1"/>
    </xf>
    <xf numFmtId="9" fontId="8" fillId="0" borderId="0" xfId="0" applyNumberFormat="1" applyFont="1" applyAlignment="1">
      <alignment horizontal="center" vertical="center"/>
    </xf>
    <xf numFmtId="166" fontId="8" fillId="2" borderId="0" xfId="1" applyFont="1" applyFill="1" applyAlignment="1">
      <alignment vertical="center" wrapText="1"/>
    </xf>
    <xf numFmtId="0" fontId="16" fillId="3" borderId="0" xfId="0" applyFont="1" applyFill="1" applyAlignment="1">
      <alignment vertical="top" wrapText="1"/>
    </xf>
    <xf numFmtId="0" fontId="8" fillId="3" borderId="0" xfId="0" applyFont="1" applyFill="1" applyAlignment="1">
      <alignment vertical="top" wrapText="1"/>
    </xf>
    <xf numFmtId="0" fontId="8" fillId="3" borderId="0" xfId="3" applyFont="1" applyFill="1" applyAlignment="1">
      <alignment vertical="center" wrapText="1"/>
    </xf>
    <xf numFmtId="0" fontId="38" fillId="3" borderId="0" xfId="0" applyFont="1" applyFill="1" applyAlignment="1">
      <alignment horizontal="left" vertical="top" wrapText="1"/>
    </xf>
    <xf numFmtId="0" fontId="8" fillId="2" borderId="0" xfId="0" applyFont="1" applyFill="1" applyAlignment="1">
      <alignment horizontal="right" vertical="top" wrapText="1"/>
    </xf>
    <xf numFmtId="0" fontId="16" fillId="2" borderId="0" xfId="0" applyFont="1" applyFill="1" applyAlignment="1">
      <alignment horizontal="right" vertical="top" wrapText="1"/>
    </xf>
    <xf numFmtId="0" fontId="16" fillId="2" borderId="0" xfId="0" applyFont="1" applyFill="1" applyAlignment="1">
      <alignment horizontal="center"/>
    </xf>
    <xf numFmtId="167" fontId="8" fillId="2" borderId="0" xfId="0" applyNumberFormat="1" applyFont="1" applyFill="1" applyAlignment="1">
      <alignment horizontal="center" vertical="top" wrapText="1"/>
    </xf>
    <xf numFmtId="169" fontId="16" fillId="2" borderId="0" xfId="0" applyNumberFormat="1" applyFont="1" applyFill="1"/>
    <xf numFmtId="167" fontId="16" fillId="2" borderId="0" xfId="0" applyNumberFormat="1" applyFont="1" applyFill="1" applyAlignment="1">
      <alignment horizontal="center"/>
    </xf>
    <xf numFmtId="169" fontId="8" fillId="2" borderId="0" xfId="0" applyNumberFormat="1" applyFont="1" applyFill="1"/>
    <xf numFmtId="167" fontId="16" fillId="3" borderId="0" xfId="0" applyNumberFormat="1" applyFont="1" applyFill="1" applyAlignment="1">
      <alignment vertical="top" wrapText="1"/>
    </xf>
    <xf numFmtId="0" fontId="16" fillId="3" borderId="0" xfId="0" applyFont="1" applyFill="1"/>
    <xf numFmtId="0" fontId="16" fillId="3" borderId="0" xfId="0" applyFont="1" applyFill="1" applyAlignment="1">
      <alignment horizontal="left" vertical="top" wrapText="1"/>
    </xf>
    <xf numFmtId="0" fontId="8" fillId="2" borderId="0" xfId="0" applyFont="1" applyFill="1" applyAlignment="1">
      <alignment horizontal="left" vertical="center"/>
    </xf>
    <xf numFmtId="0" fontId="8" fillId="2" borderId="0" xfId="0" applyFont="1" applyFill="1" applyAlignment="1">
      <alignment horizontal="center" vertical="center"/>
    </xf>
    <xf numFmtId="0" fontId="8" fillId="2" borderId="0" xfId="0" applyFont="1" applyFill="1"/>
    <xf numFmtId="0" fontId="8" fillId="4" borderId="1" xfId="0" applyFont="1" applyFill="1" applyBorder="1" applyAlignment="1">
      <alignment horizontal="center" vertical="top" wrapText="1"/>
    </xf>
    <xf numFmtId="1" fontId="8" fillId="4" borderId="1" xfId="0" applyNumberFormat="1" applyFont="1" applyFill="1" applyBorder="1" applyAlignment="1">
      <alignment horizontal="center" vertical="top" wrapText="1"/>
    </xf>
    <xf numFmtId="0" fontId="8" fillId="4" borderId="1" xfId="0" applyFont="1" applyFill="1" applyBorder="1" applyAlignment="1">
      <alignment vertical="top" wrapText="1"/>
    </xf>
    <xf numFmtId="0" fontId="8" fillId="4" borderId="1" xfId="3" applyFont="1" applyFill="1" applyBorder="1" applyAlignment="1">
      <alignment vertical="center" wrapText="1"/>
    </xf>
    <xf numFmtId="0" fontId="28" fillId="3" borderId="0" xfId="3" applyFont="1" applyFill="1" applyAlignment="1">
      <alignment horizontal="center" vertical="center"/>
    </xf>
    <xf numFmtId="166" fontId="31" fillId="2" borderId="0" xfId="1" applyFont="1" applyFill="1" applyAlignment="1">
      <alignment horizontal="center" vertical="center" wrapText="1"/>
    </xf>
    <xf numFmtId="166" fontId="9" fillId="6" borderId="0" xfId="4" applyFont="1" applyFill="1" applyAlignment="1">
      <alignment horizontal="center" vertical="center" wrapText="1"/>
    </xf>
    <xf numFmtId="166" fontId="38" fillId="2" borderId="0" xfId="4" applyFont="1" applyFill="1" applyAlignment="1">
      <alignment horizontal="center" vertical="center"/>
    </xf>
    <xf numFmtId="166" fontId="38" fillId="2" borderId="0" xfId="4" applyFont="1" applyFill="1" applyAlignment="1">
      <alignment horizontal="center" vertical="center" wrapText="1"/>
    </xf>
    <xf numFmtId="0" fontId="14" fillId="4" borderId="1" xfId="3" applyFont="1" applyFill="1" applyBorder="1" applyAlignment="1">
      <alignment horizontal="center" vertical="center" wrapText="1"/>
    </xf>
    <xf numFmtId="166" fontId="12" fillId="2" borderId="0" xfId="4" applyFont="1" applyFill="1" applyAlignment="1">
      <alignment horizontal="center" vertical="top" wrapText="1"/>
    </xf>
    <xf numFmtId="9" fontId="12" fillId="2" borderId="0" xfId="0" applyNumberFormat="1" applyFont="1" applyFill="1" applyAlignment="1">
      <alignment horizontal="center" vertical="top" wrapText="1"/>
    </xf>
    <xf numFmtId="166" fontId="12" fillId="6" borderId="0" xfId="4" applyFont="1" applyFill="1" applyAlignment="1">
      <alignment horizontal="center" vertical="top" wrapText="1"/>
    </xf>
    <xf numFmtId="0" fontId="27"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left" vertical="center"/>
    </xf>
    <xf numFmtId="0" fontId="9" fillId="2" borderId="0" xfId="0" applyFont="1" applyFill="1" applyAlignment="1">
      <alignment horizontal="center" vertical="center"/>
    </xf>
    <xf numFmtId="1" fontId="16" fillId="2" borderId="0" xfId="0" applyNumberFormat="1" applyFont="1" applyFill="1" applyAlignment="1">
      <alignment horizontal="center" vertical="center"/>
    </xf>
    <xf numFmtId="9" fontId="9" fillId="2" borderId="0" xfId="0" applyNumberFormat="1" applyFont="1" applyFill="1" applyAlignment="1">
      <alignment horizontal="center" vertical="center"/>
    </xf>
    <xf numFmtId="168" fontId="9" fillId="6" borderId="0" xfId="0" applyNumberFormat="1" applyFont="1" applyFill="1" applyAlignment="1">
      <alignment horizontal="center" vertical="center"/>
    </xf>
    <xf numFmtId="0" fontId="9" fillId="6" borderId="0" xfId="0" applyFont="1" applyFill="1" applyAlignment="1">
      <alignment horizontal="left" vertical="center" wrapText="1"/>
    </xf>
    <xf numFmtId="166" fontId="8" fillId="3" borderId="0" xfId="1" applyFont="1" applyFill="1" applyAlignment="1">
      <alignment horizontal="center" vertical="top" wrapText="1"/>
    </xf>
    <xf numFmtId="0" fontId="16" fillId="3" borderId="0" xfId="3" applyFont="1" applyFill="1" applyAlignment="1">
      <alignment vertical="center" wrapText="1"/>
    </xf>
    <xf numFmtId="0" fontId="8" fillId="4" borderId="1" xfId="0" applyFont="1" applyFill="1" applyBorder="1" applyAlignment="1">
      <alignment vertical="center" wrapText="1"/>
    </xf>
    <xf numFmtId="0" fontId="16" fillId="3" borderId="0" xfId="3" applyFont="1" applyFill="1" applyAlignment="1">
      <alignment horizontal="left" vertical="center" wrapText="1"/>
    </xf>
    <xf numFmtId="166" fontId="8" fillId="3" borderId="0" xfId="1" applyFont="1" applyFill="1" applyAlignment="1">
      <alignment horizontal="center" vertical="center" wrapText="1"/>
    </xf>
    <xf numFmtId="166" fontId="8" fillId="3" borderId="0" xfId="0" applyNumberFormat="1" applyFont="1" applyFill="1" applyAlignment="1">
      <alignment horizontal="center" vertical="center"/>
    </xf>
    <xf numFmtId="9" fontId="9" fillId="6" borderId="0" xfId="2" applyFont="1" applyFill="1" applyAlignment="1">
      <alignment horizontal="center" vertical="center"/>
    </xf>
    <xf numFmtId="0" fontId="8" fillId="5" borderId="1" xfId="0" applyFont="1" applyFill="1" applyBorder="1" applyAlignment="1">
      <alignment horizontal="center" vertical="top" wrapText="1"/>
    </xf>
    <xf numFmtId="0" fontId="16" fillId="3" borderId="0" xfId="0" applyFont="1" applyFill="1" applyAlignment="1">
      <alignment horizontal="center" vertical="top" wrapText="1"/>
    </xf>
    <xf numFmtId="0" fontId="8" fillId="5" borderId="1" xfId="0" applyFont="1" applyFill="1" applyBorder="1" applyAlignment="1">
      <alignment vertical="top" wrapText="1"/>
    </xf>
    <xf numFmtId="0" fontId="8" fillId="5" borderId="0" xfId="0" applyFont="1" applyFill="1" applyAlignment="1">
      <alignment horizontal="center" vertical="center"/>
    </xf>
    <xf numFmtId="169" fontId="8" fillId="5" borderId="0" xfId="0" applyNumberFormat="1" applyFont="1" applyFill="1" applyAlignment="1">
      <alignment horizontal="center" vertical="center"/>
    </xf>
    <xf numFmtId="166" fontId="9" fillId="2" borderId="0" xfId="3" applyNumberFormat="1" applyFont="1" applyFill="1" applyAlignment="1">
      <alignment horizontal="center" vertical="center" wrapText="1"/>
    </xf>
    <xf numFmtId="169" fontId="28" fillId="2" borderId="0" xfId="0" applyNumberFormat="1" applyFont="1" applyFill="1" applyAlignment="1">
      <alignment horizontal="center" vertical="center"/>
    </xf>
    <xf numFmtId="0" fontId="12" fillId="2" borderId="0" xfId="0" applyFont="1" applyFill="1" applyAlignment="1">
      <alignment horizontal="center" vertical="center" wrapText="1"/>
    </xf>
    <xf numFmtId="0" fontId="31" fillId="2" borderId="0" xfId="0" applyFont="1" applyFill="1" applyAlignment="1">
      <alignment horizontal="center"/>
    </xf>
    <xf numFmtId="166" fontId="31" fillId="2" borderId="0" xfId="1" applyFont="1" applyFill="1" applyAlignment="1">
      <alignment horizontal="center" vertical="top" wrapText="1"/>
    </xf>
    <xf numFmtId="169" fontId="28" fillId="2" borderId="0" xfId="0" applyNumberFormat="1" applyFont="1" applyFill="1" applyAlignment="1">
      <alignment horizontal="center" vertical="center" wrapText="1"/>
    </xf>
    <xf numFmtId="166" fontId="12" fillId="2" borderId="0" xfId="0" applyNumberFormat="1" applyFont="1" applyFill="1" applyAlignment="1">
      <alignment horizontal="center" vertical="center"/>
    </xf>
    <xf numFmtId="0" fontId="28" fillId="2" borderId="0" xfId="0" applyFont="1" applyFill="1" applyAlignment="1">
      <alignment horizontal="center" vertical="center"/>
    </xf>
    <xf numFmtId="0" fontId="32" fillId="2" borderId="0" xfId="0" applyFont="1" applyFill="1" applyAlignment="1">
      <alignment horizontal="center" vertical="top" wrapText="1"/>
    </xf>
    <xf numFmtId="9" fontId="31" fillId="2" borderId="0" xfId="0" applyNumberFormat="1" applyFont="1" applyFill="1" applyAlignment="1">
      <alignment horizontal="center" vertical="top" wrapText="1"/>
    </xf>
    <xf numFmtId="166" fontId="31" fillId="2" borderId="0" xfId="1" applyFont="1" applyFill="1" applyAlignment="1">
      <alignment horizontal="center"/>
    </xf>
    <xf numFmtId="166" fontId="9" fillId="6" borderId="0" xfId="0" applyNumberFormat="1" applyFont="1" applyFill="1" applyAlignment="1">
      <alignment horizontal="center" vertical="center" wrapText="1"/>
    </xf>
    <xf numFmtId="169" fontId="32" fillId="2" borderId="0" xfId="0" applyNumberFormat="1" applyFont="1" applyFill="1" applyAlignment="1">
      <alignment horizontal="center"/>
    </xf>
    <xf numFmtId="2" fontId="28" fillId="2" borderId="0" xfId="0" applyNumberFormat="1" applyFont="1" applyFill="1" applyAlignment="1">
      <alignment horizontal="left" vertical="center"/>
    </xf>
    <xf numFmtId="166" fontId="12" fillId="2" borderId="0" xfId="0" applyNumberFormat="1" applyFont="1" applyFill="1" applyAlignment="1">
      <alignment horizontal="left" vertical="center"/>
    </xf>
    <xf numFmtId="0" fontId="28" fillId="2" borderId="0" xfId="0" applyFont="1" applyFill="1" applyAlignment="1">
      <alignment horizontal="left" vertical="center"/>
    </xf>
    <xf numFmtId="166" fontId="12" fillId="2" borderId="0" xfId="1" applyFont="1" applyFill="1" applyAlignment="1">
      <alignment horizontal="left" vertical="center"/>
    </xf>
    <xf numFmtId="166" fontId="16" fillId="3" borderId="0" xfId="0" applyNumberFormat="1" applyFont="1" applyFill="1" applyAlignment="1">
      <alignment horizontal="center" vertical="center"/>
    </xf>
    <xf numFmtId="0" fontId="16" fillId="3" borderId="0" xfId="0" applyFont="1" applyFill="1" applyAlignment="1">
      <alignment horizontal="center" vertical="center"/>
    </xf>
    <xf numFmtId="2" fontId="16" fillId="3" borderId="0" xfId="0" applyNumberFormat="1" applyFont="1" applyFill="1" applyAlignment="1">
      <alignment horizontal="center" vertical="center"/>
    </xf>
    <xf numFmtId="169" fontId="16" fillId="3" borderId="0" xfId="0" applyNumberFormat="1" applyFont="1" applyFill="1" applyAlignment="1">
      <alignment horizontal="center" vertical="center"/>
    </xf>
    <xf numFmtId="169" fontId="28" fillId="0" borderId="0" xfId="0" applyNumberFormat="1" applyFont="1" applyAlignment="1">
      <alignment horizontal="center" vertical="center" wrapText="1"/>
    </xf>
    <xf numFmtId="166" fontId="12" fillId="0" borderId="0" xfId="0" applyNumberFormat="1" applyFont="1" applyAlignment="1">
      <alignment horizontal="center" vertical="center"/>
    </xf>
    <xf numFmtId="0" fontId="28" fillId="0" borderId="0" xfId="0" applyFont="1" applyAlignment="1">
      <alignment horizontal="center" vertical="center"/>
    </xf>
    <xf numFmtId="169" fontId="28" fillId="0" borderId="0" xfId="0" applyNumberFormat="1" applyFont="1" applyAlignment="1">
      <alignment horizontal="center" vertical="center"/>
    </xf>
    <xf numFmtId="166" fontId="28" fillId="0" borderId="0" xfId="0" applyNumberFormat="1" applyFont="1" applyAlignment="1">
      <alignment horizontal="center" vertical="center"/>
    </xf>
    <xf numFmtId="166" fontId="12" fillId="0" borderId="0" xfId="1" applyFont="1" applyAlignment="1">
      <alignment horizontal="center" vertical="center"/>
    </xf>
    <xf numFmtId="169" fontId="16" fillId="0" borderId="0" xfId="0" applyNumberFormat="1" applyFont="1" applyAlignment="1">
      <alignment horizontal="center" vertical="center"/>
    </xf>
    <xf numFmtId="166" fontId="12" fillId="0" borderId="0" xfId="0" applyNumberFormat="1" applyFont="1" applyAlignment="1">
      <alignment horizontal="center" vertical="center" wrapText="1"/>
    </xf>
    <xf numFmtId="166" fontId="16" fillId="0" borderId="0" xfId="0" applyNumberFormat="1" applyFont="1" applyAlignment="1">
      <alignment horizontal="center" vertical="center"/>
    </xf>
    <xf numFmtId="166" fontId="11" fillId="5" borderId="0" xfId="0" applyNumberFormat="1" applyFont="1" applyFill="1" applyAlignment="1">
      <alignment horizontal="center" vertical="center" wrapText="1"/>
    </xf>
    <xf numFmtId="0" fontId="16" fillId="5" borderId="0" xfId="0" applyFont="1" applyFill="1" applyAlignment="1">
      <alignment horizontal="center" vertical="center"/>
    </xf>
    <xf numFmtId="169" fontId="16" fillId="5" borderId="0" xfId="0" applyNumberFormat="1" applyFont="1" applyFill="1" applyAlignment="1">
      <alignment horizontal="center" vertical="center"/>
    </xf>
    <xf numFmtId="166" fontId="16" fillId="5" borderId="0" xfId="0" applyNumberFormat="1" applyFont="1" applyFill="1" applyAlignment="1">
      <alignment horizontal="center" vertical="center"/>
    </xf>
    <xf numFmtId="166" fontId="8" fillId="0" borderId="0" xfId="1" applyFont="1" applyAlignment="1">
      <alignment horizontal="center" vertical="center" wrapText="1"/>
    </xf>
    <xf numFmtId="166" fontId="16" fillId="0" borderId="0" xfId="0" applyNumberFormat="1" applyFont="1" applyAlignment="1">
      <alignment horizontal="center" vertical="center" wrapText="1"/>
    </xf>
    <xf numFmtId="168" fontId="8" fillId="0" borderId="0" xfId="0" applyNumberFormat="1" applyFont="1" applyAlignment="1">
      <alignment horizontal="center" vertical="center" wrapText="1"/>
    </xf>
    <xf numFmtId="166" fontId="30" fillId="3" borderId="0" xfId="0" applyNumberFormat="1" applyFont="1" applyFill="1" applyAlignment="1">
      <alignment horizontal="center" vertical="center"/>
    </xf>
    <xf numFmtId="2" fontId="30" fillId="3" borderId="0" xfId="0" applyNumberFormat="1" applyFont="1" applyFill="1" applyAlignment="1">
      <alignment horizontal="center" vertical="center"/>
    </xf>
    <xf numFmtId="166" fontId="11" fillId="2" borderId="0" xfId="0" applyNumberFormat="1" applyFont="1" applyFill="1" applyAlignment="1">
      <alignment horizontal="center" vertical="center" wrapText="1"/>
    </xf>
    <xf numFmtId="166" fontId="10" fillId="2" borderId="0" xfId="0" applyNumberFormat="1" applyFont="1" applyFill="1" applyAlignment="1">
      <alignment horizontal="center" vertical="center"/>
    </xf>
    <xf numFmtId="166" fontId="11" fillId="2" borderId="0" xfId="0" applyNumberFormat="1" applyFont="1" applyFill="1" applyAlignment="1">
      <alignment horizontal="center" vertical="center"/>
    </xf>
    <xf numFmtId="166" fontId="10" fillId="2" borderId="0" xfId="0" applyNumberFormat="1" applyFont="1" applyFill="1" applyAlignment="1">
      <alignment horizontal="center" vertical="center" wrapText="1"/>
    </xf>
    <xf numFmtId="166" fontId="11" fillId="2" borderId="0" xfId="3" applyNumberFormat="1" applyFont="1" applyFill="1" applyAlignment="1">
      <alignment horizontal="center" vertical="center"/>
    </xf>
    <xf numFmtId="166" fontId="8" fillId="3" borderId="0" xfId="3" applyNumberFormat="1" applyFont="1" applyFill="1" applyAlignment="1">
      <alignment horizontal="center" vertical="center"/>
    </xf>
    <xf numFmtId="166" fontId="23" fillId="2" borderId="0" xfId="3" applyNumberFormat="1" applyFont="1" applyFill="1" applyAlignment="1">
      <alignment horizontal="center" vertical="center" wrapText="1"/>
    </xf>
    <xf numFmtId="166" fontId="28" fillId="2" borderId="0" xfId="1" applyFont="1" applyFill="1" applyAlignment="1">
      <alignment horizontal="center" vertical="center" wrapText="1"/>
    </xf>
    <xf numFmtId="166" fontId="28" fillId="2" borderId="0" xfId="0" applyNumberFormat="1" applyFont="1" applyFill="1" applyAlignment="1">
      <alignment horizontal="center" vertical="center"/>
    </xf>
    <xf numFmtId="166" fontId="10" fillId="2" borderId="0" xfId="3" applyNumberFormat="1" applyFont="1" applyFill="1" applyAlignment="1">
      <alignment horizontal="center" vertical="center" wrapText="1"/>
    </xf>
    <xf numFmtId="166" fontId="16" fillId="2" borderId="0" xfId="0" applyNumberFormat="1" applyFont="1" applyFill="1" applyAlignment="1">
      <alignment horizontal="center" vertical="center" wrapText="1"/>
    </xf>
    <xf numFmtId="166" fontId="16" fillId="2" borderId="0" xfId="1" applyFont="1" applyFill="1" applyAlignment="1">
      <alignment horizontal="center" vertical="top" wrapText="1"/>
    </xf>
    <xf numFmtId="166" fontId="16" fillId="2" borderId="0" xfId="0" applyNumberFormat="1" applyFont="1" applyFill="1" applyAlignment="1">
      <alignment horizontal="center"/>
    </xf>
    <xf numFmtId="167" fontId="16" fillId="2" borderId="0" xfId="0" applyNumberFormat="1" applyFont="1" applyFill="1" applyAlignment="1">
      <alignment horizontal="center" vertical="top" wrapText="1"/>
    </xf>
    <xf numFmtId="168" fontId="8" fillId="2" borderId="0" xfId="0" applyNumberFormat="1" applyFont="1" applyFill="1" applyAlignment="1">
      <alignment horizontal="center" vertical="top" wrapText="1"/>
    </xf>
    <xf numFmtId="168" fontId="23" fillId="2" borderId="1" xfId="0" applyNumberFormat="1" applyFont="1" applyFill="1" applyBorder="1" applyAlignment="1">
      <alignment horizontal="center" vertical="center"/>
    </xf>
    <xf numFmtId="0" fontId="9" fillId="6" borderId="0" xfId="0" applyFont="1" applyFill="1" applyAlignment="1">
      <alignment horizontal="center"/>
    </xf>
    <xf numFmtId="0" fontId="8" fillId="5" borderId="0" xfId="0" applyFont="1" applyFill="1" applyAlignment="1">
      <alignment horizontal="center" vertical="top" wrapText="1"/>
    </xf>
    <xf numFmtId="0" fontId="8" fillId="4" borderId="1" xfId="3" applyFont="1" applyFill="1" applyBorder="1" applyAlignment="1">
      <alignment horizontal="left" vertical="center" wrapText="1"/>
    </xf>
    <xf numFmtId="166" fontId="9" fillId="2" borderId="1" xfId="0" applyNumberFormat="1" applyFont="1" applyFill="1" applyBorder="1" applyAlignment="1">
      <alignment horizontal="center" vertical="center"/>
    </xf>
    <xf numFmtId="166" fontId="24" fillId="3" borderId="0" xfId="1" applyFont="1" applyFill="1" applyAlignment="1">
      <alignment horizontal="center" vertical="center" wrapText="1"/>
    </xf>
    <xf numFmtId="166" fontId="24" fillId="3" borderId="0" xfId="0" applyNumberFormat="1" applyFont="1" applyFill="1" applyAlignment="1">
      <alignment horizontal="center" vertical="center"/>
    </xf>
    <xf numFmtId="166" fontId="24" fillId="3" borderId="0" xfId="4" applyFont="1" applyFill="1" applyAlignment="1">
      <alignment horizontal="center" vertical="top" wrapText="1"/>
    </xf>
    <xf numFmtId="9" fontId="14" fillId="4" borderId="0" xfId="0" applyNumberFormat="1" applyFont="1" applyFill="1" applyAlignment="1">
      <alignment horizontal="center" vertical="center" wrapText="1"/>
    </xf>
    <xf numFmtId="9" fontId="14" fillId="4" borderId="0" xfId="0" applyNumberFormat="1" applyFont="1" applyFill="1" applyAlignment="1">
      <alignment horizontal="center" vertical="top" wrapText="1"/>
    </xf>
    <xf numFmtId="166" fontId="24" fillId="3" borderId="0" xfId="3" applyNumberFormat="1" applyFont="1" applyFill="1" applyAlignment="1">
      <alignment horizontal="center" vertical="center" wrapText="1"/>
    </xf>
    <xf numFmtId="166" fontId="24" fillId="3" borderId="0" xfId="0" applyNumberFormat="1" applyFont="1" applyFill="1" applyAlignment="1">
      <alignment horizontal="center"/>
    </xf>
    <xf numFmtId="166" fontId="24" fillId="3" borderId="0" xfId="0" applyNumberFormat="1" applyFont="1" applyFill="1" applyAlignment="1">
      <alignment horizontal="center" vertical="center" wrapText="1"/>
    </xf>
    <xf numFmtId="9" fontId="14" fillId="4" borderId="0" xfId="2" applyFont="1" applyFill="1" applyAlignment="1">
      <alignment horizontal="center" vertical="center" wrapText="1"/>
    </xf>
    <xf numFmtId="0" fontId="14" fillId="5" borderId="1" xfId="0" applyFont="1" applyFill="1" applyBorder="1" applyAlignment="1">
      <alignment horizontal="left" vertical="center"/>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center" wrapText="1"/>
    </xf>
    <xf numFmtId="0" fontId="9" fillId="6" borderId="0" xfId="3" applyFont="1" applyFill="1" applyAlignment="1">
      <alignment horizontal="center" vertical="center"/>
    </xf>
    <xf numFmtId="9" fontId="14" fillId="5" borderId="1" xfId="2" applyFont="1" applyFill="1" applyBorder="1" applyAlignment="1">
      <alignment horizontal="center" vertical="center"/>
    </xf>
    <xf numFmtId="9" fontId="14" fillId="4" borderId="1" xfId="0" applyNumberFormat="1" applyFont="1" applyFill="1" applyBorder="1" applyAlignment="1">
      <alignment horizontal="center" vertical="center" wrapText="1"/>
    </xf>
    <xf numFmtId="166" fontId="5" fillId="2" borderId="0" xfId="1" applyFont="1" applyFill="1"/>
    <xf numFmtId="166" fontId="6" fillId="2" borderId="0" xfId="1" applyFont="1" applyFill="1"/>
    <xf numFmtId="0" fontId="5" fillId="2" borderId="0" xfId="1" applyNumberFormat="1" applyFont="1" applyFill="1" applyAlignment="1">
      <alignment horizontal="center"/>
    </xf>
    <xf numFmtId="2" fontId="5" fillId="2" borderId="0" xfId="1" applyNumberFormat="1" applyFont="1" applyFill="1" applyAlignment="1">
      <alignment horizontal="center"/>
    </xf>
    <xf numFmtId="0" fontId="0" fillId="2" borderId="0" xfId="0" applyFill="1" applyAlignment="1">
      <alignment horizontal="center"/>
    </xf>
    <xf numFmtId="9" fontId="6" fillId="2" borderId="0" xfId="2" applyFont="1" applyFill="1" applyAlignment="1">
      <alignment horizontal="center"/>
    </xf>
    <xf numFmtId="166" fontId="6" fillId="2" borderId="0" xfId="1" applyFont="1" applyFill="1" applyAlignment="1">
      <alignment horizontal="left"/>
    </xf>
    <xf numFmtId="0" fontId="6" fillId="2" borderId="0" xfId="1" applyNumberFormat="1" applyFont="1" applyFill="1" applyAlignment="1">
      <alignment horizontal="center"/>
    </xf>
    <xf numFmtId="2" fontId="6" fillId="2" borderId="0" xfId="1" applyNumberFormat="1" applyFont="1" applyFill="1" applyAlignment="1">
      <alignment horizontal="center"/>
    </xf>
    <xf numFmtId="0" fontId="6" fillId="2" borderId="0" xfId="0" applyFont="1" applyFill="1" applyAlignment="1">
      <alignment horizontal="center"/>
    </xf>
    <xf numFmtId="166" fontId="5" fillId="2" borderId="0" xfId="4" applyFill="1"/>
    <xf numFmtId="166" fontId="6" fillId="2" borderId="0" xfId="0" applyNumberFormat="1" applyFont="1" applyFill="1"/>
    <xf numFmtId="166" fontId="4" fillId="2" borderId="0" xfId="1" applyFill="1"/>
    <xf numFmtId="166" fontId="5" fillId="2" borderId="0" xfId="1" applyFont="1" applyFill="1" applyAlignment="1">
      <alignment horizontal="center"/>
    </xf>
    <xf numFmtId="0" fontId="5" fillId="2" borderId="0" xfId="0" applyFont="1" applyFill="1" applyAlignment="1">
      <alignment horizontal="center"/>
    </xf>
    <xf numFmtId="166" fontId="5" fillId="2" borderId="0" xfId="1" applyFont="1" applyFill="1" applyAlignment="1">
      <alignment vertical="top" wrapText="1"/>
    </xf>
    <xf numFmtId="166" fontId="6" fillId="2" borderId="0" xfId="1" applyFont="1" applyFill="1" applyAlignment="1">
      <alignment vertical="top" wrapText="1"/>
    </xf>
    <xf numFmtId="2" fontId="5" fillId="2" borderId="0" xfId="1" applyNumberFormat="1" applyFont="1" applyFill="1" applyAlignment="1">
      <alignment horizontal="center" vertical="top" wrapText="1"/>
    </xf>
    <xf numFmtId="0" fontId="0" fillId="2" borderId="0" xfId="0" applyFill="1"/>
    <xf numFmtId="166" fontId="5" fillId="2" borderId="0" xfId="1" applyFont="1" applyFill="1" applyAlignment="1">
      <alignment horizontal="left" vertical="top" wrapText="1"/>
    </xf>
    <xf numFmtId="166" fontId="5" fillId="2" borderId="0" xfId="1" applyFont="1" applyFill="1" applyAlignment="1">
      <alignment horizontal="center" vertical="top" wrapText="1"/>
    </xf>
    <xf numFmtId="0" fontId="4" fillId="2" borderId="0" xfId="0" applyFont="1" applyFill="1"/>
    <xf numFmtId="166" fontId="6" fillId="4" borderId="0" xfId="1" applyFont="1" applyFill="1" applyAlignment="1">
      <alignment horizontal="left"/>
    </xf>
    <xf numFmtId="166" fontId="5" fillId="4" borderId="0" xfId="1" applyFont="1" applyFill="1"/>
    <xf numFmtId="166" fontId="6" fillId="4" borderId="0" xfId="1" applyFont="1" applyFill="1"/>
    <xf numFmtId="2" fontId="6" fillId="4" borderId="0" xfId="1" applyNumberFormat="1" applyFont="1" applyFill="1" applyAlignment="1">
      <alignment horizontal="center"/>
    </xf>
    <xf numFmtId="166" fontId="6" fillId="4" borderId="0" xfId="1" applyFont="1" applyFill="1" applyAlignment="1">
      <alignment horizontal="center"/>
    </xf>
    <xf numFmtId="0" fontId="6" fillId="4" borderId="0" xfId="1" applyNumberFormat="1"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166" fontId="6" fillId="4" borderId="0" xfId="1" applyFont="1" applyFill="1" applyAlignment="1">
      <alignment vertical="top" wrapText="1"/>
    </xf>
    <xf numFmtId="166" fontId="6" fillId="4" borderId="0" xfId="1" applyFont="1" applyFill="1" applyAlignment="1">
      <alignment horizontal="center" vertical="top" wrapText="1"/>
    </xf>
    <xf numFmtId="166" fontId="5" fillId="4" borderId="0" xfId="1" applyFont="1" applyFill="1" applyAlignment="1">
      <alignment vertical="top" wrapText="1"/>
    </xf>
    <xf numFmtId="0" fontId="4" fillId="3" borderId="0" xfId="0" applyFont="1" applyFill="1"/>
    <xf numFmtId="0" fontId="4" fillId="3" borderId="0" xfId="0" applyFont="1" applyFill="1" applyAlignment="1">
      <alignment horizontal="center"/>
    </xf>
    <xf numFmtId="166" fontId="4" fillId="3" borderId="0" xfId="0" applyNumberFormat="1" applyFont="1" applyFill="1" applyAlignment="1">
      <alignment horizontal="center"/>
    </xf>
    <xf numFmtId="0" fontId="6" fillId="3" borderId="0" xfId="0" applyFont="1" applyFill="1" applyAlignment="1">
      <alignment horizontal="center"/>
    </xf>
    <xf numFmtId="166" fontId="4" fillId="3" borderId="0" xfId="1" applyFill="1" applyAlignment="1">
      <alignment horizontal="center"/>
    </xf>
    <xf numFmtId="0" fontId="39" fillId="3" borderId="0" xfId="0" applyFont="1" applyFill="1" applyAlignment="1">
      <alignment horizontal="center"/>
    </xf>
    <xf numFmtId="0" fontId="40" fillId="3" borderId="0" xfId="0" applyFont="1" applyFill="1" applyAlignment="1">
      <alignment horizontal="left"/>
    </xf>
    <xf numFmtId="166" fontId="4" fillId="3" borderId="0" xfId="0" applyNumberFormat="1" applyFont="1" applyFill="1"/>
    <xf numFmtId="166" fontId="6" fillId="3" borderId="0" xfId="1" applyFont="1" applyFill="1" applyAlignment="1">
      <alignment horizontal="center"/>
    </xf>
    <xf numFmtId="166" fontId="4" fillId="4" borderId="0" xfId="0" applyNumberFormat="1" applyFont="1" applyFill="1" applyAlignment="1">
      <alignment horizontal="center"/>
    </xf>
    <xf numFmtId="166" fontId="44" fillId="4" borderId="0" xfId="1" applyFont="1" applyFill="1" applyAlignment="1">
      <alignment horizontal="center"/>
    </xf>
    <xf numFmtId="166" fontId="41" fillId="5" borderId="0" xfId="1" applyFont="1" applyFill="1" applyAlignment="1">
      <alignment horizontal="center"/>
    </xf>
    <xf numFmtId="166" fontId="41" fillId="3" borderId="0" xfId="1" applyFont="1" applyFill="1" applyAlignment="1">
      <alignment horizontal="center"/>
    </xf>
    <xf numFmtId="166" fontId="4" fillId="4" borderId="0" xfId="1" applyFill="1" applyAlignment="1">
      <alignment horizontal="center"/>
    </xf>
    <xf numFmtId="2" fontId="41" fillId="3" borderId="0" xfId="1" applyNumberFormat="1" applyFont="1" applyFill="1" applyAlignment="1">
      <alignment horizontal="center"/>
    </xf>
    <xf numFmtId="0" fontId="6" fillId="5" borderId="1" xfId="0" applyFont="1" applyFill="1" applyBorder="1" applyAlignment="1">
      <alignment horizontal="center"/>
    </xf>
    <xf numFmtId="166" fontId="6" fillId="5" borderId="1" xfId="1" applyFont="1" applyFill="1" applyBorder="1" applyAlignment="1">
      <alignment horizontal="center"/>
    </xf>
    <xf numFmtId="0" fontId="45" fillId="6" borderId="0" xfId="0" applyFont="1" applyFill="1" applyAlignment="1">
      <alignment horizontal="left"/>
    </xf>
    <xf numFmtId="0" fontId="46" fillId="6" borderId="0" xfId="0" applyFont="1" applyFill="1" applyAlignment="1">
      <alignment horizontal="center"/>
    </xf>
    <xf numFmtId="166" fontId="46" fillId="6" borderId="0" xfId="0" applyNumberFormat="1" applyFont="1" applyFill="1" applyAlignment="1">
      <alignment horizontal="center"/>
    </xf>
    <xf numFmtId="2" fontId="6" fillId="5" borderId="1" xfId="1" applyNumberFormat="1" applyFont="1" applyFill="1" applyBorder="1" applyAlignment="1">
      <alignment horizontal="center"/>
    </xf>
    <xf numFmtId="2" fontId="41" fillId="5" borderId="1" xfId="1" applyNumberFormat="1" applyFont="1" applyFill="1" applyBorder="1" applyAlignment="1">
      <alignment horizontal="center"/>
    </xf>
    <xf numFmtId="1" fontId="23" fillId="2" borderId="1" xfId="0" applyNumberFormat="1" applyFont="1" applyFill="1" applyBorder="1" applyAlignment="1">
      <alignment horizontal="center" vertical="center" wrapText="1"/>
    </xf>
    <xf numFmtId="166" fontId="6" fillId="3" borderId="0" xfId="0" applyNumberFormat="1" applyFont="1" applyFill="1" applyAlignment="1">
      <alignment horizontal="center"/>
    </xf>
    <xf numFmtId="0" fontId="6" fillId="3" borderId="0" xfId="0" applyFont="1" applyFill="1"/>
    <xf numFmtId="166" fontId="6" fillId="3" borderId="0" xfId="1" applyFont="1" applyFill="1"/>
    <xf numFmtId="0" fontId="4" fillId="2" borderId="0" xfId="1" applyNumberFormat="1" applyFill="1" applyAlignment="1">
      <alignment horizontal="center"/>
    </xf>
    <xf numFmtId="166" fontId="40" fillId="6" borderId="1" xfId="1" applyFont="1" applyFill="1" applyBorder="1" applyAlignment="1">
      <alignment horizontal="center"/>
    </xf>
    <xf numFmtId="0" fontId="43" fillId="6" borderId="1" xfId="0" applyFont="1" applyFill="1" applyBorder="1" applyAlignment="1">
      <alignment horizontal="center"/>
    </xf>
    <xf numFmtId="0" fontId="6" fillId="5" borderId="9" xfId="0" applyFont="1" applyFill="1" applyBorder="1" applyAlignment="1">
      <alignment horizontal="center"/>
    </xf>
    <xf numFmtId="0" fontId="42" fillId="6" borderId="1" xfId="0" applyFont="1" applyFill="1" applyBorder="1" applyAlignment="1">
      <alignment horizontal="center"/>
    </xf>
    <xf numFmtId="166" fontId="43" fillId="6" borderId="1" xfId="0" applyNumberFormat="1" applyFont="1" applyFill="1" applyBorder="1" applyAlignment="1">
      <alignment horizontal="center"/>
    </xf>
    <xf numFmtId="0" fontId="40" fillId="6" borderId="1" xfId="0" applyFont="1" applyFill="1" applyBorder="1" applyAlignment="1">
      <alignment horizontal="left"/>
    </xf>
    <xf numFmtId="166" fontId="23" fillId="2" borderId="1" xfId="1" applyFont="1" applyFill="1" applyBorder="1" applyAlignment="1">
      <alignment horizontal="center" vertical="center" wrapText="1"/>
    </xf>
    <xf numFmtId="1" fontId="14" fillId="2" borderId="8" xfId="0" applyNumberFormat="1" applyFont="1" applyFill="1" applyBorder="1" applyAlignment="1">
      <alignment horizontal="center" vertical="center" wrapText="1"/>
    </xf>
    <xf numFmtId="1" fontId="23" fillId="2" borderId="9" xfId="0" applyNumberFormat="1" applyFont="1" applyFill="1" applyBorder="1" applyAlignment="1">
      <alignment horizontal="center" vertical="center" wrapText="1"/>
    </xf>
    <xf numFmtId="1" fontId="14" fillId="3" borderId="0" xfId="0" applyNumberFormat="1" applyFont="1" applyFill="1" applyAlignment="1">
      <alignment vertical="center" wrapText="1"/>
    </xf>
    <xf numFmtId="9" fontId="31" fillId="4" borderId="0" xfId="0" applyNumberFormat="1" applyFont="1" applyFill="1" applyAlignment="1">
      <alignment horizontal="center" vertical="center" wrapText="1"/>
    </xf>
    <xf numFmtId="166" fontId="31" fillId="8" borderId="0" xfId="0" applyNumberFormat="1" applyFont="1" applyFill="1" applyAlignment="1">
      <alignment horizontal="center" vertical="center"/>
    </xf>
    <xf numFmtId="166" fontId="31" fillId="8" borderId="0" xfId="3" applyNumberFormat="1" applyFont="1" applyFill="1" applyAlignment="1">
      <alignment horizontal="center" vertical="center" wrapText="1"/>
    </xf>
    <xf numFmtId="166" fontId="31" fillId="8" borderId="0" xfId="1" applyFont="1" applyFill="1" applyAlignment="1">
      <alignment horizontal="center" vertical="center" wrapText="1"/>
    </xf>
    <xf numFmtId="10" fontId="47" fillId="2" borderId="0" xfId="0" applyNumberFormat="1" applyFont="1" applyFill="1" applyAlignment="1">
      <alignment horizontal="center" vertical="center"/>
    </xf>
    <xf numFmtId="166" fontId="47" fillId="2" borderId="0" xfId="0" applyNumberFormat="1" applyFont="1" applyFill="1" applyAlignment="1">
      <alignment vertical="center"/>
    </xf>
    <xf numFmtId="171" fontId="47" fillId="2" borderId="0" xfId="0" applyNumberFormat="1" applyFont="1" applyFill="1" applyAlignment="1">
      <alignment vertical="center"/>
    </xf>
    <xf numFmtId="166" fontId="10" fillId="2" borderId="0" xfId="1" applyFont="1" applyFill="1" applyAlignment="1">
      <alignment horizontal="center" vertical="center"/>
    </xf>
    <xf numFmtId="0" fontId="12" fillId="2" borderId="0" xfId="0" applyFont="1" applyFill="1" applyAlignment="1">
      <alignment horizontal="center" vertical="center"/>
    </xf>
    <xf numFmtId="169" fontId="12" fillId="2" borderId="0" xfId="0" applyNumberFormat="1" applyFont="1" applyFill="1" applyAlignment="1">
      <alignment horizontal="center" vertical="center" wrapText="1"/>
    </xf>
    <xf numFmtId="167" fontId="32" fillId="3" borderId="0" xfId="3" applyNumberFormat="1" applyFont="1" applyFill="1" applyAlignment="1">
      <alignment vertical="center"/>
    </xf>
    <xf numFmtId="0" fontId="12" fillId="4" borderId="1" xfId="3" applyFont="1" applyFill="1" applyBorder="1" applyAlignment="1">
      <alignment vertical="center"/>
    </xf>
    <xf numFmtId="0" fontId="32" fillId="2" borderId="1" xfId="3" applyFont="1" applyFill="1" applyBorder="1" applyAlignment="1">
      <alignment horizontal="center" vertical="center" wrapText="1"/>
    </xf>
    <xf numFmtId="0" fontId="31" fillId="4" borderId="1" xfId="3" applyFont="1" applyFill="1" applyBorder="1" applyAlignment="1" applyProtection="1">
      <alignment vertical="center" wrapText="1"/>
      <protection locked="0"/>
    </xf>
    <xf numFmtId="0" fontId="23" fillId="2" borderId="15" xfId="3" applyFont="1" applyFill="1" applyBorder="1" applyAlignment="1">
      <alignment horizontal="center" vertical="center" wrapText="1"/>
    </xf>
    <xf numFmtId="0" fontId="31" fillId="4" borderId="1" xfId="3" applyFont="1" applyFill="1" applyBorder="1" applyAlignment="1" applyProtection="1">
      <alignment horizontal="center" vertical="center" wrapText="1"/>
      <protection locked="0"/>
    </xf>
    <xf numFmtId="167" fontId="28" fillId="2" borderId="0" xfId="3" applyNumberFormat="1" applyFont="1" applyFill="1" applyAlignment="1">
      <alignment horizontal="center" vertical="center"/>
    </xf>
    <xf numFmtId="0" fontId="50" fillId="3" borderId="1" xfId="3" applyFont="1" applyFill="1" applyBorder="1" applyAlignment="1">
      <alignment horizontal="center" vertical="center" wrapText="1"/>
    </xf>
    <xf numFmtId="167" fontId="11" fillId="3" borderId="1" xfId="3" applyNumberFormat="1" applyFont="1" applyFill="1" applyBorder="1" applyAlignment="1">
      <alignment vertical="center"/>
    </xf>
    <xf numFmtId="0" fontId="32" fillId="3" borderId="1" xfId="3" applyFont="1" applyFill="1" applyBorder="1" applyAlignment="1">
      <alignment horizontal="center" vertical="center" wrapText="1"/>
    </xf>
    <xf numFmtId="167" fontId="28" fillId="3" borderId="1" xfId="3" applyNumberFormat="1" applyFont="1" applyFill="1" applyBorder="1" applyAlignment="1">
      <alignment vertical="center"/>
    </xf>
    <xf numFmtId="0" fontId="3" fillId="3" borderId="1" xfId="3" applyFont="1" applyFill="1" applyBorder="1" applyAlignment="1">
      <alignment horizontal="center" vertical="center" wrapText="1"/>
    </xf>
    <xf numFmtId="166" fontId="24" fillId="2" borderId="0" xfId="0" applyNumberFormat="1" applyFont="1" applyFill="1" applyAlignment="1">
      <alignment horizontal="center" vertical="center"/>
    </xf>
    <xf numFmtId="0" fontId="3" fillId="3" borderId="15" xfId="3" applyFont="1" applyFill="1" applyBorder="1" applyAlignment="1">
      <alignment horizontal="center" vertical="center" wrapText="1"/>
    </xf>
    <xf numFmtId="167" fontId="28" fillId="3" borderId="15" xfId="3" applyNumberFormat="1" applyFont="1" applyFill="1" applyBorder="1" applyAlignment="1">
      <alignment vertical="center"/>
    </xf>
    <xf numFmtId="166" fontId="24" fillId="4" borderId="0" xfId="1" applyFont="1" applyFill="1" applyAlignment="1">
      <alignment horizontal="center" vertical="center" wrapText="1"/>
    </xf>
    <xf numFmtId="166" fontId="24" fillId="2" borderId="0" xfId="1" applyFont="1" applyFill="1" applyAlignment="1">
      <alignment horizontal="center" vertical="center" wrapText="1"/>
    </xf>
    <xf numFmtId="9" fontId="50" fillId="4" borderId="0" xfId="0" applyNumberFormat="1" applyFont="1" applyFill="1" applyAlignment="1">
      <alignment horizontal="center" vertical="center" wrapText="1"/>
    </xf>
    <xf numFmtId="0" fontId="31" fillId="3" borderId="0" xfId="3" applyFont="1" applyFill="1" applyAlignment="1">
      <alignment horizontal="left" vertical="center" wrapText="1"/>
    </xf>
    <xf numFmtId="166" fontId="4" fillId="2" borderId="0" xfId="1" applyFill="1" applyAlignment="1">
      <alignment vertical="top" wrapText="1"/>
    </xf>
    <xf numFmtId="0" fontId="22" fillId="2" borderId="0" xfId="0" applyFont="1" applyFill="1" applyAlignment="1">
      <alignment horizontal="center" vertical="center"/>
    </xf>
    <xf numFmtId="167" fontId="22" fillId="2" borderId="0" xfId="0" applyNumberFormat="1" applyFont="1" applyFill="1" applyAlignment="1">
      <alignment horizontal="center" vertical="center"/>
    </xf>
    <xf numFmtId="167" fontId="8" fillId="2" borderId="0" xfId="0" applyNumberFormat="1" applyFont="1" applyFill="1" applyAlignment="1">
      <alignment horizontal="center" vertical="center"/>
    </xf>
    <xf numFmtId="164" fontId="8" fillId="2" borderId="0" xfId="0" applyNumberFormat="1" applyFont="1" applyFill="1" applyAlignment="1">
      <alignment horizontal="center" vertical="center"/>
    </xf>
    <xf numFmtId="0" fontId="12" fillId="7" borderId="0" xfId="0" applyFont="1" applyFill="1"/>
    <xf numFmtId="166" fontId="12" fillId="7" borderId="0" xfId="0" applyNumberFormat="1" applyFont="1" applyFill="1" applyAlignment="1">
      <alignment horizontal="center"/>
    </xf>
    <xf numFmtId="0" fontId="31" fillId="4" borderId="0" xfId="0" applyFont="1" applyFill="1" applyAlignment="1">
      <alignment horizontal="center"/>
    </xf>
    <xf numFmtId="0" fontId="0" fillId="0" borderId="0" xfId="0" applyAlignment="1">
      <alignment horizontal="center"/>
    </xf>
    <xf numFmtId="17" fontId="50" fillId="0" borderId="0" xfId="0" applyNumberFormat="1" applyFont="1" applyAlignment="1">
      <alignment horizontal="center"/>
    </xf>
    <xf numFmtId="0" fontId="50" fillId="0" borderId="16" xfId="0" applyFont="1" applyBorder="1" applyAlignment="1">
      <alignment horizontal="center"/>
    </xf>
    <xf numFmtId="0" fontId="50" fillId="0" borderId="17" xfId="0" applyFont="1" applyBorder="1" applyAlignment="1">
      <alignment horizontal="center"/>
    </xf>
    <xf numFmtId="0" fontId="0" fillId="0" borderId="27" xfId="0" applyBorder="1"/>
    <xf numFmtId="0" fontId="50" fillId="13" borderId="28" xfId="0" applyFont="1" applyFill="1" applyBorder="1" applyAlignment="1">
      <alignment horizontal="center"/>
    </xf>
    <xf numFmtId="0" fontId="50" fillId="4" borderId="29" xfId="0" applyFont="1" applyFill="1" applyBorder="1" applyAlignment="1">
      <alignment horizontal="center"/>
    </xf>
    <xf numFmtId="0" fontId="50" fillId="0" borderId="15" xfId="0" applyFont="1" applyBorder="1" applyAlignment="1">
      <alignment horizontal="center"/>
    </xf>
    <xf numFmtId="0" fontId="50" fillId="12" borderId="15" xfId="0" applyFont="1" applyFill="1" applyBorder="1" applyAlignment="1">
      <alignment horizontal="center"/>
    </xf>
    <xf numFmtId="0" fontId="50" fillId="4" borderId="15" xfId="0" applyFont="1" applyFill="1" applyBorder="1" applyAlignment="1">
      <alignment horizontal="center"/>
    </xf>
    <xf numFmtId="0" fontId="50" fillId="2" borderId="15" xfId="0" applyFont="1" applyFill="1" applyBorder="1" applyAlignment="1">
      <alignment horizontal="center"/>
    </xf>
    <xf numFmtId="0" fontId="0" fillId="0" borderId="24" xfId="0" applyBorder="1"/>
    <xf numFmtId="0" fontId="0" fillId="13" borderId="30" xfId="0" applyFill="1" applyBorder="1"/>
    <xf numFmtId="0" fontId="50" fillId="0" borderId="28" xfId="0" applyFont="1" applyBorder="1"/>
    <xf numFmtId="173" fontId="0" fillId="4" borderId="16" xfId="0" applyNumberFormat="1" applyFill="1" applyBorder="1" applyAlignment="1">
      <alignment horizontal="center"/>
    </xf>
    <xf numFmtId="0" fontId="0" fillId="4" borderId="17" xfId="0" applyFill="1" applyBorder="1" applyAlignment="1">
      <alignment horizontal="center"/>
    </xf>
    <xf numFmtId="166" fontId="0" fillId="12" borderId="17" xfId="1" applyFont="1" applyFill="1" applyBorder="1" applyAlignment="1">
      <alignment horizontal="center"/>
    </xf>
    <xf numFmtId="0" fontId="0" fillId="12" borderId="17" xfId="0" applyFill="1" applyBorder="1" applyAlignment="1">
      <alignment horizontal="center"/>
    </xf>
    <xf numFmtId="173" fontId="0" fillId="4" borderId="17" xfId="0" applyNumberFormat="1" applyFill="1" applyBorder="1" applyAlignment="1">
      <alignment horizontal="center"/>
    </xf>
    <xf numFmtId="173" fontId="0" fillId="12" borderId="17" xfId="0" applyNumberFormat="1" applyFill="1" applyBorder="1" applyAlignment="1">
      <alignment horizontal="center"/>
    </xf>
    <xf numFmtId="0" fontId="0" fillId="0" borderId="27" xfId="0" applyBorder="1" applyAlignment="1">
      <alignment horizontal="center"/>
    </xf>
    <xf numFmtId="173" fontId="0" fillId="13" borderId="28" xfId="0" applyNumberFormat="1" applyFill="1" applyBorder="1"/>
    <xf numFmtId="0" fontId="50" fillId="0" borderId="31" xfId="0" applyFont="1" applyBorder="1"/>
    <xf numFmtId="173" fontId="0" fillId="4" borderId="19" xfId="0" applyNumberFormat="1" applyFill="1" applyBorder="1" applyAlignment="1">
      <alignment horizontal="center"/>
    </xf>
    <xf numFmtId="0" fontId="0" fillId="4" borderId="1" xfId="0" applyFill="1" applyBorder="1" applyAlignment="1">
      <alignment horizontal="center"/>
    </xf>
    <xf numFmtId="166" fontId="0" fillId="12" borderId="1" xfId="1" applyFont="1" applyFill="1" applyBorder="1" applyAlignment="1">
      <alignment horizontal="center"/>
    </xf>
    <xf numFmtId="0" fontId="0" fillId="12" borderId="1" xfId="0" applyFill="1" applyBorder="1" applyAlignment="1">
      <alignment horizontal="center"/>
    </xf>
    <xf numFmtId="173" fontId="0" fillId="4" borderId="1" xfId="0" applyNumberFormat="1" applyFill="1" applyBorder="1" applyAlignment="1">
      <alignment horizontal="center"/>
    </xf>
    <xf numFmtId="173" fontId="0" fillId="12" borderId="1" xfId="0" applyNumberFormat="1" applyFill="1" applyBorder="1" applyAlignment="1">
      <alignment horizontal="center"/>
    </xf>
    <xf numFmtId="0" fontId="0" fillId="0" borderId="8" xfId="0" applyBorder="1" applyAlignment="1">
      <alignment horizontal="center"/>
    </xf>
    <xf numFmtId="0" fontId="0" fillId="0" borderId="8" xfId="0" applyBorder="1"/>
    <xf numFmtId="173" fontId="0" fillId="13" borderId="31" xfId="0" applyNumberFormat="1" applyFill="1" applyBorder="1"/>
    <xf numFmtId="0" fontId="0" fillId="0" borderId="31" xfId="0" applyBorder="1"/>
    <xf numFmtId="0" fontId="0" fillId="0" borderId="19" xfId="0" applyBorder="1" applyAlignment="1">
      <alignment horizontal="center"/>
    </xf>
    <xf numFmtId="0" fontId="0" fillId="0" borderId="1" xfId="0" applyBorder="1" applyAlignment="1">
      <alignment horizontal="center"/>
    </xf>
    <xf numFmtId="0" fontId="50" fillId="0" borderId="30" xfId="0" applyFont="1" applyBorder="1"/>
    <xf numFmtId="0" fontId="0" fillId="0" borderId="29" xfId="0" applyBorder="1" applyAlignment="1">
      <alignment horizontal="center"/>
    </xf>
    <xf numFmtId="0" fontId="0" fillId="0" borderId="15" xfId="0" applyBorder="1" applyAlignment="1">
      <alignment horizontal="center"/>
    </xf>
    <xf numFmtId="0" fontId="0" fillId="0" borderId="24" xfId="0" applyBorder="1" applyAlignment="1">
      <alignment horizontal="center"/>
    </xf>
    <xf numFmtId="9" fontId="50" fillId="0" borderId="24" xfId="0" applyNumberFormat="1" applyFont="1" applyBorder="1" applyAlignment="1">
      <alignment horizontal="center"/>
    </xf>
    <xf numFmtId="173" fontId="0" fillId="13" borderId="30" xfId="0" applyNumberFormat="1" applyFill="1" applyBorder="1"/>
    <xf numFmtId="0" fontId="0" fillId="0" borderId="32" xfId="0" applyBorder="1"/>
    <xf numFmtId="0" fontId="0" fillId="0" borderId="21" xfId="0" applyBorder="1" applyAlignment="1">
      <alignment horizontal="center"/>
    </xf>
    <xf numFmtId="0" fontId="0" fillId="0" borderId="22" xfId="0" applyBorder="1" applyAlignment="1">
      <alignment horizontal="center"/>
    </xf>
    <xf numFmtId="0" fontId="0" fillId="0" borderId="33" xfId="0" applyBorder="1" applyAlignment="1">
      <alignment horizontal="center"/>
    </xf>
    <xf numFmtId="0" fontId="50" fillId="0" borderId="33" xfId="0" applyFont="1" applyBorder="1" applyAlignment="1">
      <alignment horizontal="center"/>
    </xf>
    <xf numFmtId="173" fontId="0" fillId="13" borderId="32" xfId="0" applyNumberFormat="1" applyFill="1" applyBorder="1"/>
    <xf numFmtId="0" fontId="50" fillId="2" borderId="17" xfId="0" applyFont="1" applyFill="1" applyBorder="1" applyAlignment="1">
      <alignment horizontal="center"/>
    </xf>
    <xf numFmtId="0" fontId="50" fillId="0" borderId="24" xfId="0" applyFont="1" applyBorder="1" applyAlignment="1">
      <alignment horizontal="center"/>
    </xf>
    <xf numFmtId="173" fontId="0" fillId="0" borderId="19" xfId="0" applyNumberFormat="1" applyBorder="1" applyAlignment="1">
      <alignment horizontal="center"/>
    </xf>
    <xf numFmtId="166" fontId="0" fillId="0" borderId="1" xfId="1" applyFont="1" applyBorder="1" applyAlignment="1">
      <alignment horizontal="center"/>
    </xf>
    <xf numFmtId="173" fontId="0" fillId="0" borderId="1" xfId="0" applyNumberFormat="1" applyBorder="1" applyAlignment="1">
      <alignment horizontal="center"/>
    </xf>
    <xf numFmtId="173" fontId="0" fillId="4" borderId="27" xfId="0" applyNumberFormat="1" applyFill="1" applyBorder="1" applyAlignment="1">
      <alignment horizontal="center"/>
    </xf>
    <xf numFmtId="173" fontId="0" fillId="4" borderId="8" xfId="0" applyNumberFormat="1" applyFill="1" applyBorder="1" applyAlignment="1">
      <alignment horizontal="center"/>
    </xf>
    <xf numFmtId="0" fontId="6" fillId="11" borderId="13" xfId="0" applyFont="1" applyFill="1" applyBorder="1" applyAlignment="1">
      <alignment horizontal="center" vertical="center"/>
    </xf>
    <xf numFmtId="173" fontId="6" fillId="4" borderId="5" xfId="0" applyNumberFormat="1" applyFont="1" applyFill="1" applyBorder="1"/>
    <xf numFmtId="166" fontId="52" fillId="4" borderId="0" xfId="0" applyNumberFormat="1" applyFont="1" applyFill="1" applyAlignment="1">
      <alignment horizontal="center" vertical="center"/>
    </xf>
    <xf numFmtId="0" fontId="51" fillId="4" borderId="0" xfId="0" applyFont="1" applyFill="1" applyAlignment="1">
      <alignment horizontal="center" vertical="center"/>
    </xf>
    <xf numFmtId="167" fontId="31" fillId="4" borderId="0" xfId="0" applyNumberFormat="1" applyFont="1" applyFill="1" applyAlignment="1">
      <alignment horizontal="center" vertical="center"/>
    </xf>
    <xf numFmtId="0" fontId="52" fillId="4" borderId="0" xfId="0" applyFont="1" applyFill="1" applyAlignment="1">
      <alignment horizontal="center"/>
    </xf>
    <xf numFmtId="0" fontId="51" fillId="4" borderId="0" xfId="0" applyFont="1" applyFill="1" applyAlignment="1">
      <alignment horizontal="center"/>
    </xf>
    <xf numFmtId="167" fontId="53" fillId="4" borderId="0" xfId="0" applyNumberFormat="1" applyFont="1" applyFill="1" applyAlignment="1">
      <alignment horizontal="center" vertical="center"/>
    </xf>
    <xf numFmtId="0" fontId="53" fillId="4" borderId="0" xfId="0" applyFont="1" applyFill="1" applyAlignment="1">
      <alignment horizontal="center"/>
    </xf>
    <xf numFmtId="168" fontId="7" fillId="3" borderId="0" xfId="0" applyNumberFormat="1" applyFont="1" applyFill="1"/>
    <xf numFmtId="168" fontId="54" fillId="3" borderId="7" xfId="0" applyNumberFormat="1" applyFont="1" applyFill="1" applyBorder="1"/>
    <xf numFmtId="0" fontId="4" fillId="3" borderId="0" xfId="0" applyFont="1" applyFill="1" applyAlignment="1">
      <alignment horizontal="center" vertical="center"/>
    </xf>
    <xf numFmtId="168" fontId="7" fillId="3" borderId="3" xfId="0" applyNumberFormat="1" applyFont="1" applyFill="1" applyBorder="1" applyAlignment="1">
      <alignment horizontal="center" vertical="center"/>
    </xf>
    <xf numFmtId="0" fontId="50" fillId="0" borderId="3" xfId="0" applyFont="1" applyBorder="1" applyAlignment="1">
      <alignment horizontal="left" vertical="center"/>
    </xf>
    <xf numFmtId="0" fontId="50" fillId="0" borderId="4" xfId="0" applyFont="1" applyBorder="1" applyAlignment="1">
      <alignment horizontal="left" vertical="center"/>
    </xf>
    <xf numFmtId="166" fontId="49" fillId="2" borderId="16" xfId="0" applyNumberFormat="1" applyFont="1" applyFill="1" applyBorder="1" applyAlignment="1">
      <alignment horizontal="right" vertical="center"/>
    </xf>
    <xf numFmtId="1" fontId="12" fillId="2" borderId="18" xfId="4" applyNumberFormat="1" applyFont="1" applyFill="1" applyBorder="1" applyAlignment="1">
      <alignment horizontal="center" vertical="center"/>
    </xf>
    <xf numFmtId="0" fontId="49" fillId="2" borderId="29" xfId="0" applyFont="1" applyFill="1" applyBorder="1" applyAlignment="1">
      <alignment horizontal="right" vertical="center"/>
    </xf>
    <xf numFmtId="171" fontId="49" fillId="2" borderId="10" xfId="0" applyNumberFormat="1" applyFont="1" applyFill="1" applyBorder="1" applyAlignment="1">
      <alignment horizontal="right" vertical="center"/>
    </xf>
    <xf numFmtId="0" fontId="12" fillId="2" borderId="34" xfId="0" applyFont="1" applyFill="1" applyBorder="1" applyAlignment="1" applyProtection="1">
      <alignment horizontal="center" vertical="center"/>
      <protection hidden="1"/>
    </xf>
    <xf numFmtId="2" fontId="31" fillId="5" borderId="11" xfId="4" applyNumberFormat="1" applyFont="1" applyFill="1" applyBorder="1" applyAlignment="1" applyProtection="1">
      <alignment horizontal="center" vertical="center"/>
      <protection hidden="1"/>
    </xf>
    <xf numFmtId="0" fontId="31" fillId="8" borderId="0" xfId="0" applyFont="1" applyFill="1" applyAlignment="1">
      <alignment horizontal="center" vertical="center" wrapText="1"/>
    </xf>
    <xf numFmtId="166" fontId="31" fillId="2" borderId="0" xfId="4" applyFont="1" applyFill="1"/>
    <xf numFmtId="172" fontId="31" fillId="2" borderId="0" xfId="4" applyNumberFormat="1" applyFont="1" applyFill="1" applyProtection="1">
      <protection hidden="1"/>
    </xf>
    <xf numFmtId="166" fontId="31" fillId="2" borderId="0" xfId="4" applyFont="1" applyFill="1" applyAlignment="1">
      <alignment horizontal="left" vertical="center"/>
    </xf>
    <xf numFmtId="166" fontId="31" fillId="11" borderId="12" xfId="4" applyFont="1" applyFill="1" applyBorder="1" applyAlignment="1">
      <alignment horizontal="left" vertical="center"/>
    </xf>
    <xf numFmtId="172" fontId="31" fillId="11" borderId="4" xfId="4" applyNumberFormat="1" applyFont="1" applyFill="1" applyBorder="1" applyProtection="1">
      <protection hidden="1"/>
    </xf>
    <xf numFmtId="0" fontId="57" fillId="3" borderId="0" xfId="0" applyFont="1" applyFill="1" applyAlignment="1">
      <alignment vertical="top" wrapText="1"/>
    </xf>
    <xf numFmtId="0" fontId="58" fillId="3" borderId="0" xfId="0" applyFont="1" applyFill="1" applyAlignment="1">
      <alignment vertical="top" wrapText="1"/>
    </xf>
    <xf numFmtId="0" fontId="32" fillId="3" borderId="0" xfId="0" applyFont="1" applyFill="1" applyAlignment="1">
      <alignment vertical="top" wrapText="1"/>
    </xf>
    <xf numFmtId="0" fontId="59" fillId="3" borderId="0" xfId="0" applyFont="1" applyFill="1" applyAlignment="1">
      <alignment vertical="top" wrapText="1"/>
    </xf>
    <xf numFmtId="17" fontId="22" fillId="3" borderId="0" xfId="0" applyNumberFormat="1" applyFont="1" applyFill="1" applyAlignment="1">
      <alignment horizontal="center" vertical="center"/>
    </xf>
    <xf numFmtId="0" fontId="62" fillId="2" borderId="0" xfId="0" applyFont="1" applyFill="1" applyAlignment="1">
      <alignment vertical="center"/>
    </xf>
    <xf numFmtId="0" fontId="8" fillId="3" borderId="0" xfId="0" applyFont="1" applyFill="1" applyAlignment="1">
      <alignment horizontal="left" vertical="top" wrapText="1"/>
    </xf>
    <xf numFmtId="0" fontId="8" fillId="14" borderId="0" xfId="0" applyFont="1" applyFill="1" applyAlignment="1">
      <alignment vertical="top" wrapText="1"/>
    </xf>
    <xf numFmtId="0" fontId="31" fillId="8" borderId="0" xfId="0" applyFont="1" applyFill="1" applyAlignment="1">
      <alignment horizontal="left" vertical="center" wrapText="1"/>
    </xf>
    <xf numFmtId="0" fontId="28" fillId="8" borderId="0" xfId="0" applyFont="1" applyFill="1" applyAlignment="1">
      <alignment horizontal="left" vertical="top" wrapText="1"/>
    </xf>
    <xf numFmtId="166" fontId="56" fillId="2" borderId="0" xfId="1" applyFont="1" applyFill="1"/>
    <xf numFmtId="166" fontId="6" fillId="2" borderId="0" xfId="1" applyFont="1" applyFill="1" applyAlignment="1">
      <alignment horizontal="left" vertical="center"/>
    </xf>
    <xf numFmtId="166" fontId="5" fillId="2" borderId="0" xfId="1" applyFont="1" applyFill="1" applyAlignment="1">
      <alignment horizontal="left" vertical="center"/>
    </xf>
    <xf numFmtId="0" fontId="63" fillId="2" borderId="0" xfId="1" applyNumberFormat="1" applyFont="1" applyFill="1" applyAlignment="1">
      <alignment horizontal="left" vertical="center"/>
    </xf>
    <xf numFmtId="166" fontId="64" fillId="2" borderId="0" xfId="1" applyFont="1" applyFill="1"/>
    <xf numFmtId="166" fontId="64" fillId="2" borderId="0" xfId="1" applyFont="1" applyFill="1" applyAlignment="1">
      <alignment horizontal="left"/>
    </xf>
    <xf numFmtId="166" fontId="64" fillId="2" borderId="0" xfId="0" applyNumberFormat="1" applyFont="1" applyFill="1"/>
    <xf numFmtId="166" fontId="64" fillId="2" borderId="0" xfId="4" applyFont="1" applyFill="1"/>
    <xf numFmtId="166" fontId="65" fillId="2" borderId="0" xfId="1" applyFont="1" applyFill="1"/>
    <xf numFmtId="166" fontId="66" fillId="2" borderId="0" xfId="1" applyFont="1" applyFill="1"/>
    <xf numFmtId="166" fontId="64" fillId="2" borderId="0" xfId="1" applyFont="1" applyFill="1" applyAlignment="1">
      <alignment horizontal="right" vertical="top" wrapText="1"/>
    </xf>
    <xf numFmtId="166" fontId="64" fillId="2" borderId="0" xfId="1" applyFont="1" applyFill="1" applyAlignment="1">
      <alignment vertical="top" wrapText="1"/>
    </xf>
    <xf numFmtId="0" fontId="6" fillId="16" borderId="1" xfId="0" applyFont="1" applyFill="1" applyBorder="1" applyAlignment="1">
      <alignment horizontal="left"/>
    </xf>
    <xf numFmtId="0" fontId="6" fillId="0" borderId="0" xfId="0" applyFont="1"/>
    <xf numFmtId="0" fontId="0" fillId="0" borderId="1" xfId="0" applyBorder="1" applyAlignment="1">
      <alignment horizontal="left"/>
    </xf>
    <xf numFmtId="166" fontId="0" fillId="0" borderId="1" xfId="1" applyFont="1" applyBorder="1" applyAlignment="1">
      <alignment horizontal="left"/>
    </xf>
    <xf numFmtId="0" fontId="0" fillId="16" borderId="1" xfId="0" applyFill="1" applyBorder="1" applyAlignment="1">
      <alignment horizontal="left"/>
    </xf>
    <xf numFmtId="0" fontId="0" fillId="16" borderId="1" xfId="0" applyFill="1" applyBorder="1" applyAlignment="1">
      <alignment horizontal="right"/>
    </xf>
    <xf numFmtId="0" fontId="61" fillId="0" borderId="0" xfId="0" applyFont="1" applyAlignment="1">
      <alignment horizontal="center" vertical="center" textRotation="90"/>
    </xf>
    <xf numFmtId="0" fontId="0" fillId="0" borderId="0" xfId="0" applyAlignment="1">
      <alignment horizontal="left"/>
    </xf>
    <xf numFmtId="0" fontId="0" fillId="0" borderId="0" xfId="0" applyAlignment="1">
      <alignment horizontal="right"/>
    </xf>
    <xf numFmtId="166" fontId="0" fillId="0" borderId="0" xfId="1" applyFont="1" applyAlignment="1">
      <alignment horizontal="left"/>
    </xf>
    <xf numFmtId="0" fontId="67" fillId="0" borderId="1" xfId="0" applyFont="1" applyBorder="1"/>
    <xf numFmtId="166" fontId="67" fillId="0" borderId="1" xfId="0" applyNumberFormat="1" applyFont="1" applyBorder="1" applyAlignment="1">
      <alignment horizontal="left"/>
    </xf>
    <xf numFmtId="167" fontId="10" fillId="14" borderId="2" xfId="3" applyNumberFormat="1" applyFont="1" applyFill="1" applyBorder="1" applyAlignment="1">
      <alignment vertical="center"/>
    </xf>
    <xf numFmtId="167" fontId="10" fillId="14" borderId="0" xfId="3" applyNumberFormat="1" applyFont="1" applyFill="1" applyAlignment="1">
      <alignment vertical="center"/>
    </xf>
    <xf numFmtId="0" fontId="4" fillId="2" borderId="8" xfId="1" applyNumberFormat="1" applyFill="1" applyBorder="1" applyAlignment="1">
      <alignment horizontal="left" vertical="center"/>
    </xf>
    <xf numFmtId="9" fontId="4" fillId="2" borderId="35" xfId="1" applyNumberFormat="1" applyFill="1" applyBorder="1" applyAlignment="1">
      <alignment horizontal="left" vertical="center"/>
    </xf>
    <xf numFmtId="166" fontId="4" fillId="2" borderId="7" xfId="1" applyFill="1" applyBorder="1" applyAlignment="1">
      <alignment horizontal="left"/>
    </xf>
    <xf numFmtId="173" fontId="4" fillId="4" borderId="1" xfId="0" applyNumberFormat="1" applyFont="1" applyFill="1" applyBorder="1" applyAlignment="1">
      <alignment horizontal="center"/>
    </xf>
    <xf numFmtId="166" fontId="4" fillId="12" borderId="1" xfId="1" applyFill="1" applyBorder="1" applyAlignment="1">
      <alignment horizontal="center"/>
    </xf>
    <xf numFmtId="0" fontId="0" fillId="0" borderId="17" xfId="0" applyBorder="1" applyAlignment="1">
      <alignment horizontal="center"/>
    </xf>
    <xf numFmtId="0" fontId="31" fillId="0" borderId="8" xfId="0" applyFont="1" applyBorder="1" applyAlignment="1">
      <alignment horizontal="center"/>
    </xf>
    <xf numFmtId="0" fontId="31" fillId="0" borderId="24" xfId="0" applyFont="1" applyBorder="1" applyAlignment="1">
      <alignment horizontal="center"/>
    </xf>
    <xf numFmtId="0" fontId="68" fillId="4" borderId="1" xfId="0" applyFont="1" applyFill="1" applyBorder="1" applyAlignment="1">
      <alignment horizontal="center" vertical="center"/>
    </xf>
    <xf numFmtId="166" fontId="68" fillId="4" borderId="1" xfId="0" applyNumberFormat="1" applyFont="1" applyFill="1" applyBorder="1" applyAlignment="1">
      <alignment horizontal="center" vertical="center"/>
    </xf>
    <xf numFmtId="0" fontId="69" fillId="3" borderId="0" xfId="0" applyFont="1" applyFill="1" applyAlignment="1">
      <alignment horizontal="center" vertical="center"/>
    </xf>
    <xf numFmtId="0" fontId="69" fillId="3" borderId="0" xfId="0" applyFont="1" applyFill="1" applyAlignment="1">
      <alignment vertical="center"/>
    </xf>
    <xf numFmtId="0" fontId="69" fillId="3" borderId="0" xfId="0" applyFont="1" applyFill="1" applyAlignment="1">
      <alignment horizontal="left" vertical="center"/>
    </xf>
    <xf numFmtId="0" fontId="70" fillId="4" borderId="1" xfId="0" applyFont="1" applyFill="1" applyBorder="1" applyAlignment="1">
      <alignment horizontal="center"/>
    </xf>
    <xf numFmtId="0" fontId="72" fillId="3" borderId="1" xfId="0" applyFont="1" applyFill="1" applyBorder="1" applyAlignment="1">
      <alignment horizontal="center"/>
    </xf>
    <xf numFmtId="166" fontId="72" fillId="3" borderId="1" xfId="0" applyNumberFormat="1" applyFont="1" applyFill="1" applyBorder="1" applyAlignment="1">
      <alignment horizontal="center"/>
    </xf>
    <xf numFmtId="0" fontId="72" fillId="3" borderId="0" xfId="0" applyFont="1" applyFill="1" applyAlignment="1">
      <alignment horizontal="center"/>
    </xf>
    <xf numFmtId="0" fontId="72" fillId="3" borderId="0" xfId="0" applyFont="1" applyFill="1"/>
    <xf numFmtId="166" fontId="72" fillId="3" borderId="0" xfId="0" applyNumberFormat="1" applyFont="1" applyFill="1" applyAlignment="1">
      <alignment horizontal="left"/>
    </xf>
    <xf numFmtId="0" fontId="72" fillId="3" borderId="0" xfId="0" applyFont="1" applyFill="1" applyAlignment="1">
      <alignment horizontal="left"/>
    </xf>
    <xf numFmtId="166" fontId="72" fillId="3" borderId="1" xfId="1" applyFont="1" applyFill="1" applyBorder="1" applyAlignment="1">
      <alignment horizontal="center"/>
    </xf>
    <xf numFmtId="0" fontId="72" fillId="3" borderId="0" xfId="0" applyFont="1" applyFill="1" applyAlignment="1">
      <alignment vertical="center" wrapText="1"/>
    </xf>
    <xf numFmtId="166" fontId="70" fillId="4" borderId="1" xfId="0" applyNumberFormat="1" applyFont="1" applyFill="1" applyBorder="1" applyAlignment="1">
      <alignment horizontal="center"/>
    </xf>
    <xf numFmtId="0" fontId="70" fillId="4" borderId="15" xfId="0" applyFont="1" applyFill="1" applyBorder="1" applyAlignment="1">
      <alignment horizontal="center"/>
    </xf>
    <xf numFmtId="0" fontId="72" fillId="3" borderId="15" xfId="0" applyFont="1" applyFill="1" applyBorder="1" applyAlignment="1">
      <alignment horizontal="center"/>
    </xf>
    <xf numFmtId="166" fontId="72" fillId="3" borderId="15" xfId="0" applyNumberFormat="1" applyFont="1" applyFill="1" applyBorder="1" applyAlignment="1">
      <alignment horizontal="center"/>
    </xf>
    <xf numFmtId="0" fontId="70" fillId="4" borderId="16" xfId="0" applyFont="1" applyFill="1" applyBorder="1" applyAlignment="1">
      <alignment horizontal="center"/>
    </xf>
    <xf numFmtId="0" fontId="70" fillId="4" borderId="17" xfId="0" applyFont="1" applyFill="1" applyBorder="1" applyAlignment="1">
      <alignment horizontal="center"/>
    </xf>
    <xf numFmtId="0" fontId="70" fillId="4" borderId="18" xfId="0" applyFont="1" applyFill="1" applyBorder="1" applyAlignment="1">
      <alignment horizontal="center"/>
    </xf>
    <xf numFmtId="0" fontId="72" fillId="3" borderId="17" xfId="0" applyFont="1" applyFill="1" applyBorder="1" applyAlignment="1">
      <alignment horizontal="center"/>
    </xf>
    <xf numFmtId="166" fontId="72" fillId="3" borderId="17" xfId="0" applyNumberFormat="1" applyFont="1" applyFill="1" applyBorder="1" applyAlignment="1">
      <alignment horizontal="center"/>
    </xf>
    <xf numFmtId="166" fontId="72" fillId="3" borderId="17" xfId="1" applyFont="1" applyFill="1" applyBorder="1" applyAlignment="1">
      <alignment horizontal="center"/>
    </xf>
    <xf numFmtId="166" fontId="72" fillId="3" borderId="18" xfId="0" applyNumberFormat="1" applyFont="1" applyFill="1" applyBorder="1" applyAlignment="1">
      <alignment horizontal="center"/>
    </xf>
    <xf numFmtId="0" fontId="70" fillId="4" borderId="20" xfId="0" applyFont="1" applyFill="1" applyBorder="1" applyAlignment="1">
      <alignment horizontal="center"/>
    </xf>
    <xf numFmtId="166" fontId="72" fillId="3" borderId="20" xfId="0" applyNumberFormat="1" applyFont="1" applyFill="1" applyBorder="1" applyAlignment="1">
      <alignment horizontal="center"/>
    </xf>
    <xf numFmtId="0" fontId="70" fillId="4" borderId="22" xfId="0" applyFont="1" applyFill="1" applyBorder="1" applyAlignment="1">
      <alignment horizontal="center"/>
    </xf>
    <xf numFmtId="0" fontId="70" fillId="4" borderId="23" xfId="0" applyFont="1" applyFill="1" applyBorder="1" applyAlignment="1">
      <alignment horizontal="center"/>
    </xf>
    <xf numFmtId="166" fontId="72" fillId="3" borderId="22" xfId="0" applyNumberFormat="1" applyFont="1" applyFill="1" applyBorder="1" applyAlignment="1">
      <alignment horizontal="center"/>
    </xf>
    <xf numFmtId="166" fontId="72" fillId="3" borderId="22" xfId="1" applyFont="1" applyFill="1" applyBorder="1" applyAlignment="1">
      <alignment horizontal="center"/>
    </xf>
    <xf numFmtId="0" fontId="72" fillId="3" borderId="22" xfId="0" applyFont="1" applyFill="1" applyBorder="1" applyAlignment="1">
      <alignment horizontal="center"/>
    </xf>
    <xf numFmtId="166" fontId="72" fillId="3" borderId="23" xfId="0" applyNumberFormat="1" applyFont="1" applyFill="1" applyBorder="1" applyAlignment="1">
      <alignment horizontal="center"/>
    </xf>
    <xf numFmtId="0" fontId="70" fillId="10" borderId="16" xfId="0" applyFont="1" applyFill="1" applyBorder="1" applyAlignment="1">
      <alignment horizontal="center"/>
    </xf>
    <xf numFmtId="0" fontId="70" fillId="10" borderId="19" xfId="0" applyFont="1" applyFill="1" applyBorder="1" applyAlignment="1">
      <alignment horizontal="center"/>
    </xf>
    <xf numFmtId="0" fontId="70" fillId="4" borderId="0" xfId="0" applyFont="1" applyFill="1" applyAlignment="1">
      <alignment horizontal="left"/>
    </xf>
    <xf numFmtId="0" fontId="70" fillId="4" borderId="0" xfId="0" applyFont="1" applyFill="1" applyAlignment="1">
      <alignment horizontal="center"/>
    </xf>
    <xf numFmtId="166" fontId="70" fillId="4" borderId="0" xfId="0" applyNumberFormat="1" applyFont="1" applyFill="1" applyAlignment="1">
      <alignment horizontal="center"/>
    </xf>
    <xf numFmtId="0" fontId="71" fillId="3" borderId="0" xfId="0" applyFont="1" applyFill="1" applyAlignment="1">
      <alignment horizontal="center"/>
    </xf>
    <xf numFmtId="166" fontId="72" fillId="3" borderId="0" xfId="0" applyNumberFormat="1" applyFont="1" applyFill="1" applyAlignment="1">
      <alignment horizontal="center"/>
    </xf>
    <xf numFmtId="0" fontId="76" fillId="2" borderId="0" xfId="0" applyFont="1" applyFill="1" applyAlignment="1">
      <alignment horizontal="center" vertical="center"/>
    </xf>
    <xf numFmtId="0" fontId="77" fillId="3" borderId="0" xfId="0" applyFont="1" applyFill="1" applyAlignment="1">
      <alignment vertical="center"/>
    </xf>
    <xf numFmtId="1" fontId="78" fillId="3" borderId="0" xfId="0" applyNumberFormat="1" applyFont="1" applyFill="1" applyAlignment="1">
      <alignment horizontal="center" vertical="center"/>
    </xf>
    <xf numFmtId="166" fontId="78" fillId="3" borderId="0" xfId="0" applyNumberFormat="1" applyFont="1" applyFill="1" applyAlignment="1">
      <alignment horizontal="center" vertical="center"/>
    </xf>
    <xf numFmtId="0" fontId="78" fillId="3" borderId="0" xfId="0" applyFont="1" applyFill="1" applyAlignment="1">
      <alignment horizontal="center" vertical="center"/>
    </xf>
    <xf numFmtId="2" fontId="78" fillId="3" borderId="0" xfId="0" applyNumberFormat="1" applyFont="1" applyFill="1" applyAlignment="1">
      <alignment horizontal="center" vertical="center"/>
    </xf>
    <xf numFmtId="169" fontId="78" fillId="3" borderId="0" xfId="0" applyNumberFormat="1" applyFont="1" applyFill="1" applyAlignment="1">
      <alignment horizontal="center" vertical="center"/>
    </xf>
    <xf numFmtId="0" fontId="78" fillId="0" borderId="0" xfId="0" applyFont="1" applyAlignment="1">
      <alignment vertical="center"/>
    </xf>
    <xf numFmtId="0" fontId="77" fillId="0" borderId="0" xfId="0" applyFont="1" applyAlignment="1">
      <alignment vertical="center"/>
    </xf>
    <xf numFmtId="167" fontId="77" fillId="0" borderId="0" xfId="0" applyNumberFormat="1" applyFont="1" applyAlignment="1">
      <alignment vertical="center"/>
    </xf>
    <xf numFmtId="169" fontId="78" fillId="0" borderId="0" xfId="0" applyNumberFormat="1" applyFont="1" applyAlignment="1">
      <alignment vertical="center"/>
    </xf>
    <xf numFmtId="0" fontId="79" fillId="0" borderId="0" xfId="0" applyFont="1" applyAlignment="1">
      <alignment vertical="center"/>
    </xf>
    <xf numFmtId="169" fontId="80" fillId="0" borderId="0" xfId="0" applyNumberFormat="1" applyFont="1" applyAlignment="1">
      <alignment vertical="center"/>
    </xf>
    <xf numFmtId="166" fontId="79" fillId="0" borderId="0" xfId="0" applyNumberFormat="1" applyFont="1" applyAlignment="1">
      <alignment vertical="center"/>
    </xf>
    <xf numFmtId="1" fontId="79" fillId="0" borderId="0" xfId="0" applyNumberFormat="1" applyFont="1" applyAlignment="1">
      <alignment horizontal="center" vertical="center"/>
    </xf>
    <xf numFmtId="169" fontId="79" fillId="0" borderId="0" xfId="0" applyNumberFormat="1" applyFont="1" applyAlignment="1">
      <alignment horizontal="center" vertical="center" wrapText="1"/>
    </xf>
    <xf numFmtId="166" fontId="80" fillId="0" borderId="0" xfId="0" applyNumberFormat="1" applyFont="1" applyAlignment="1">
      <alignment horizontal="center" vertical="center"/>
    </xf>
    <xf numFmtId="0" fontId="79" fillId="0" borderId="0" xfId="0" applyFont="1" applyAlignment="1">
      <alignment horizontal="center" vertical="center"/>
    </xf>
    <xf numFmtId="169" fontId="79" fillId="0" borderId="0" xfId="0" applyNumberFormat="1" applyFont="1" applyAlignment="1">
      <alignment horizontal="center" vertical="center"/>
    </xf>
    <xf numFmtId="166" fontId="79" fillId="0" borderId="0" xfId="0" applyNumberFormat="1" applyFont="1" applyAlignment="1">
      <alignment horizontal="center" vertical="center"/>
    </xf>
    <xf numFmtId="166" fontId="77" fillId="0" borderId="0" xfId="0" applyNumberFormat="1" applyFont="1" applyAlignment="1">
      <alignment horizontal="center" vertical="center"/>
    </xf>
    <xf numFmtId="167" fontId="78" fillId="0" borderId="0" xfId="0" applyNumberFormat="1" applyFont="1" applyAlignment="1">
      <alignment vertical="center"/>
    </xf>
    <xf numFmtId="0" fontId="81" fillId="0" borderId="0" xfId="0" applyFont="1" applyAlignment="1">
      <alignment vertical="center"/>
    </xf>
    <xf numFmtId="0" fontId="80" fillId="0" borderId="0" xfId="0" applyFont="1" applyAlignment="1">
      <alignment vertical="center" wrapText="1"/>
    </xf>
    <xf numFmtId="166" fontId="80" fillId="0" borderId="0" xfId="0" applyNumberFormat="1" applyFont="1" applyAlignment="1">
      <alignment vertical="center"/>
    </xf>
    <xf numFmtId="0" fontId="78" fillId="0" borderId="0" xfId="0" applyFont="1" applyAlignment="1">
      <alignment horizontal="center" vertical="center"/>
    </xf>
    <xf numFmtId="169" fontId="79" fillId="0" borderId="0" xfId="0" applyNumberFormat="1" applyFont="1" applyAlignment="1">
      <alignment vertical="center" wrapText="1"/>
    </xf>
    <xf numFmtId="2" fontId="79" fillId="0" borderId="0" xfId="0" applyNumberFormat="1" applyFont="1" applyAlignment="1">
      <alignment vertical="center"/>
    </xf>
    <xf numFmtId="164" fontId="78" fillId="0" borderId="0" xfId="0" applyNumberFormat="1" applyFont="1" applyAlignment="1">
      <alignment vertical="center"/>
    </xf>
    <xf numFmtId="0" fontId="80" fillId="0" borderId="0" xfId="0" applyFont="1" applyAlignment="1">
      <alignment vertical="center"/>
    </xf>
    <xf numFmtId="166" fontId="80" fillId="0" borderId="0" xfId="1" applyFont="1" applyAlignment="1">
      <alignment horizontal="center" vertical="center"/>
    </xf>
    <xf numFmtId="166" fontId="78" fillId="0" borderId="0" xfId="1" applyFont="1" applyAlignment="1">
      <alignment vertical="center"/>
    </xf>
    <xf numFmtId="169" fontId="78" fillId="0" borderId="0" xfId="0" applyNumberFormat="1" applyFont="1" applyAlignment="1">
      <alignment horizontal="center" vertical="center"/>
    </xf>
    <xf numFmtId="166" fontId="80" fillId="0" borderId="0" xfId="0" applyNumberFormat="1" applyFont="1" applyAlignment="1">
      <alignment horizontal="center" vertical="center" wrapText="1"/>
    </xf>
    <xf numFmtId="1" fontId="78" fillId="0" borderId="0" xfId="0" applyNumberFormat="1" applyFont="1" applyAlignment="1">
      <alignment horizontal="center" vertical="center"/>
    </xf>
    <xf numFmtId="166" fontId="78" fillId="0" borderId="0" xfId="0" applyNumberFormat="1" applyFont="1" applyAlignment="1">
      <alignment horizontal="center" vertical="center"/>
    </xf>
    <xf numFmtId="0" fontId="83" fillId="6" borderId="0" xfId="0" applyFont="1" applyFill="1" applyAlignment="1">
      <alignment horizontal="center" vertical="center"/>
    </xf>
    <xf numFmtId="166" fontId="83" fillId="6" borderId="0" xfId="0" applyNumberFormat="1" applyFont="1" applyFill="1" applyAlignment="1">
      <alignment horizontal="center" vertical="center"/>
    </xf>
    <xf numFmtId="9" fontId="83" fillId="6" borderId="0" xfId="0" applyNumberFormat="1" applyFont="1" applyFill="1" applyAlignment="1">
      <alignment horizontal="center" vertical="center"/>
    </xf>
    <xf numFmtId="166" fontId="82" fillId="8" borderId="0" xfId="0" applyNumberFormat="1" applyFont="1" applyFill="1" applyAlignment="1">
      <alignment horizontal="center" vertical="center"/>
    </xf>
    <xf numFmtId="1" fontId="77" fillId="5" borderId="0" xfId="0" applyNumberFormat="1" applyFont="1" applyFill="1" applyAlignment="1">
      <alignment horizontal="center" vertical="center" wrapText="1"/>
    </xf>
    <xf numFmtId="1" fontId="77" fillId="5" borderId="0" xfId="0" applyNumberFormat="1" applyFont="1" applyFill="1" applyAlignment="1">
      <alignment horizontal="center" vertical="center"/>
    </xf>
    <xf numFmtId="166" fontId="77" fillId="5" borderId="0" xfId="0" applyNumberFormat="1" applyFont="1" applyFill="1" applyAlignment="1">
      <alignment horizontal="center" vertical="center" wrapText="1"/>
    </xf>
    <xf numFmtId="0" fontId="77" fillId="5" borderId="0" xfId="0" applyFont="1" applyFill="1" applyAlignment="1">
      <alignment horizontal="center" vertical="center" wrapText="1"/>
    </xf>
    <xf numFmtId="2" fontId="77" fillId="5" borderId="0" xfId="0" applyNumberFormat="1" applyFont="1" applyFill="1" applyAlignment="1">
      <alignment horizontal="center" vertical="center" wrapText="1"/>
    </xf>
    <xf numFmtId="169" fontId="77" fillId="5" borderId="0" xfId="0" applyNumberFormat="1" applyFont="1" applyFill="1" applyAlignment="1">
      <alignment horizontal="center" vertical="center" wrapText="1"/>
    </xf>
    <xf numFmtId="166" fontId="77" fillId="5" borderId="0" xfId="0" applyNumberFormat="1" applyFont="1" applyFill="1" applyAlignment="1">
      <alignment horizontal="center" vertical="center"/>
    </xf>
    <xf numFmtId="164" fontId="77" fillId="0" borderId="0" xfId="0" applyNumberFormat="1" applyFont="1" applyAlignment="1">
      <alignment vertical="center"/>
    </xf>
    <xf numFmtId="0" fontId="77" fillId="0" borderId="0" xfId="0" applyFont="1" applyAlignment="1">
      <alignment horizontal="center" vertical="center" wrapText="1"/>
    </xf>
    <xf numFmtId="1" fontId="77" fillId="0" borderId="0" xfId="0" applyNumberFormat="1" applyFont="1" applyAlignment="1">
      <alignment horizontal="center" vertical="center" wrapText="1"/>
    </xf>
    <xf numFmtId="1" fontId="83" fillId="0" borderId="0" xfId="0" applyNumberFormat="1" applyFont="1" applyAlignment="1">
      <alignment horizontal="center" vertical="center" wrapText="1"/>
    </xf>
    <xf numFmtId="166" fontId="77" fillId="0" borderId="0" xfId="0" applyNumberFormat="1" applyFont="1" applyAlignment="1">
      <alignment horizontal="center" vertical="center" wrapText="1"/>
    </xf>
    <xf numFmtId="2" fontId="77" fillId="0" borderId="0" xfId="0" applyNumberFormat="1" applyFont="1" applyAlignment="1">
      <alignment horizontal="center" vertical="center" wrapText="1"/>
    </xf>
    <xf numFmtId="169" fontId="77" fillId="0" borderId="0" xfId="0" applyNumberFormat="1" applyFont="1" applyAlignment="1">
      <alignment horizontal="center" vertical="center" wrapText="1"/>
    </xf>
    <xf numFmtId="1" fontId="83" fillId="6" borderId="0" xfId="0" applyNumberFormat="1" applyFont="1" applyFill="1" applyAlignment="1">
      <alignment horizontal="center" vertical="center" wrapText="1"/>
    </xf>
    <xf numFmtId="0" fontId="83" fillId="6" borderId="0" xfId="0" applyFont="1" applyFill="1" applyAlignment="1">
      <alignment horizontal="center" vertical="center" wrapText="1"/>
    </xf>
    <xf numFmtId="166" fontId="77" fillId="6" borderId="0" xfId="0" applyNumberFormat="1" applyFont="1" applyFill="1" applyAlignment="1">
      <alignment horizontal="center" vertical="center" wrapText="1"/>
    </xf>
    <xf numFmtId="166" fontId="83" fillId="6" borderId="0" xfId="1" applyFont="1" applyFill="1" applyAlignment="1">
      <alignment horizontal="center" vertical="center" wrapText="1"/>
    </xf>
    <xf numFmtId="0" fontId="85" fillId="5" borderId="0" xfId="0" applyFont="1" applyFill="1" applyAlignment="1">
      <alignment vertical="center" wrapText="1"/>
    </xf>
    <xf numFmtId="0" fontId="85" fillId="5" borderId="0" xfId="0" applyFont="1" applyFill="1" applyAlignment="1">
      <alignment horizontal="center" vertical="center" wrapText="1"/>
    </xf>
    <xf numFmtId="1" fontId="85" fillId="5" borderId="0" xfId="0" applyNumberFormat="1" applyFont="1" applyFill="1" applyAlignment="1">
      <alignment horizontal="center" vertical="center" wrapText="1"/>
    </xf>
    <xf numFmtId="166" fontId="86" fillId="5" borderId="0" xfId="0" applyNumberFormat="1" applyFont="1" applyFill="1" applyAlignment="1">
      <alignment horizontal="center" vertical="center" wrapText="1"/>
    </xf>
    <xf numFmtId="0" fontId="78" fillId="5" borderId="0" xfId="0" applyFont="1" applyFill="1" applyAlignment="1">
      <alignment horizontal="center" vertical="center"/>
    </xf>
    <xf numFmtId="169" fontId="78" fillId="5" borderId="0" xfId="0" applyNumberFormat="1" applyFont="1" applyFill="1" applyAlignment="1">
      <alignment horizontal="center" vertical="center"/>
    </xf>
    <xf numFmtId="166" fontId="78" fillId="5" borderId="0" xfId="0" applyNumberFormat="1" applyFont="1" applyFill="1" applyAlignment="1">
      <alignment horizontal="center" vertical="center"/>
    </xf>
    <xf numFmtId="0" fontId="78" fillId="3" borderId="0" xfId="0" applyFont="1" applyFill="1" applyAlignment="1">
      <alignment vertical="top" wrapText="1"/>
    </xf>
    <xf numFmtId="1" fontId="87" fillId="2" borderId="1" xfId="0" applyNumberFormat="1" applyFont="1" applyFill="1" applyBorder="1" applyAlignment="1">
      <alignment horizontal="center" vertical="center" wrapText="1"/>
    </xf>
    <xf numFmtId="0" fontId="87" fillId="4" borderId="1" xfId="0" applyFont="1" applyFill="1" applyBorder="1" applyAlignment="1" applyProtection="1">
      <alignment horizontal="center" vertical="center" wrapText="1"/>
      <protection locked="0"/>
    </xf>
    <xf numFmtId="0" fontId="87" fillId="4" borderId="1" xfId="0" applyFont="1" applyFill="1" applyBorder="1" applyAlignment="1">
      <alignment horizontal="center" wrapText="1"/>
    </xf>
    <xf numFmtId="0" fontId="84" fillId="2" borderId="1" xfId="0" applyFont="1" applyFill="1" applyBorder="1" applyAlignment="1">
      <alignment horizontal="center" vertical="center" wrapText="1"/>
    </xf>
    <xf numFmtId="166" fontId="88" fillId="3" borderId="0" xfId="4" applyFont="1" applyFill="1" applyAlignment="1">
      <alignment horizontal="center" vertical="top" wrapText="1"/>
    </xf>
    <xf numFmtId="166" fontId="88" fillId="3" borderId="0" xfId="1" applyFont="1" applyFill="1" applyAlignment="1">
      <alignment horizontal="center" vertical="center" wrapText="1"/>
    </xf>
    <xf numFmtId="9" fontId="87" fillId="4" borderId="1" xfId="0" applyNumberFormat="1" applyFont="1" applyFill="1" applyBorder="1" applyAlignment="1">
      <alignment horizontal="center" vertical="center" wrapText="1"/>
    </xf>
    <xf numFmtId="166" fontId="77" fillId="3" borderId="0" xfId="1" applyFont="1" applyFill="1" applyAlignment="1">
      <alignment horizontal="center" vertical="center" wrapText="1"/>
    </xf>
    <xf numFmtId="166" fontId="88" fillId="3" borderId="0" xfId="0" applyNumberFormat="1" applyFont="1" applyFill="1" applyAlignment="1">
      <alignment horizontal="center" vertical="center"/>
    </xf>
    <xf numFmtId="1" fontId="87" fillId="3" borderId="1" xfId="0" applyNumberFormat="1" applyFont="1" applyFill="1" applyBorder="1" applyAlignment="1">
      <alignment horizontal="center" vertical="center" wrapText="1"/>
    </xf>
    <xf numFmtId="0" fontId="87" fillId="3" borderId="1" xfId="0" applyFont="1" applyFill="1" applyBorder="1" applyAlignment="1">
      <alignment horizontal="center" vertical="center" wrapText="1"/>
    </xf>
    <xf numFmtId="0" fontId="84" fillId="3" borderId="1" xfId="0" applyFont="1" applyFill="1" applyBorder="1" applyAlignment="1">
      <alignment horizontal="center" vertical="center"/>
    </xf>
    <xf numFmtId="0" fontId="88" fillId="3" borderId="0" xfId="0" applyFont="1" applyFill="1" applyAlignment="1">
      <alignment vertical="center" wrapText="1"/>
    </xf>
    <xf numFmtId="166" fontId="78" fillId="0" borderId="0" xfId="0" applyNumberFormat="1" applyFont="1" applyAlignment="1">
      <alignment vertical="center"/>
    </xf>
    <xf numFmtId="0" fontId="87" fillId="4" borderId="1" xfId="0" applyFont="1" applyFill="1" applyBorder="1" applyAlignment="1">
      <alignment horizontal="center" vertical="center" wrapText="1"/>
    </xf>
    <xf numFmtId="0" fontId="78" fillId="3" borderId="1" xfId="0" applyFont="1" applyFill="1" applyBorder="1" applyAlignment="1">
      <alignment vertical="center"/>
    </xf>
    <xf numFmtId="0" fontId="78" fillId="3" borderId="2" xfId="0" applyFont="1" applyFill="1" applyBorder="1" applyAlignment="1">
      <alignment vertical="center" wrapText="1"/>
    </xf>
    <xf numFmtId="0" fontId="78" fillId="3" borderId="0" xfId="0" applyFont="1" applyFill="1" applyAlignment="1">
      <alignment vertical="center" wrapText="1"/>
    </xf>
    <xf numFmtId="0" fontId="77" fillId="3" borderId="0" xfId="0" applyFont="1" applyFill="1" applyAlignment="1">
      <alignment vertical="center" wrapText="1"/>
    </xf>
    <xf numFmtId="1" fontId="77" fillId="3" borderId="0" xfId="0" applyNumberFormat="1" applyFont="1" applyFill="1" applyAlignment="1">
      <alignment horizontal="center" vertical="center" wrapText="1"/>
    </xf>
    <xf numFmtId="1" fontId="88" fillId="3" borderId="0" xfId="0" applyNumberFormat="1" applyFont="1" applyFill="1" applyAlignment="1">
      <alignment horizontal="center" vertical="center" wrapText="1"/>
    </xf>
    <xf numFmtId="1" fontId="87" fillId="4" borderId="1" xfId="0" applyNumberFormat="1" applyFont="1" applyFill="1" applyBorder="1" applyAlignment="1">
      <alignment horizontal="center" vertical="center" wrapText="1"/>
    </xf>
    <xf numFmtId="0" fontId="87" fillId="3" borderId="2" xfId="0" applyFont="1" applyFill="1" applyBorder="1" applyAlignment="1">
      <alignment horizontal="center" vertical="center" wrapText="1"/>
    </xf>
    <xf numFmtId="0" fontId="78" fillId="3" borderId="0" xfId="0" applyFont="1" applyFill="1" applyAlignment="1">
      <alignment vertical="center"/>
    </xf>
    <xf numFmtId="1" fontId="89" fillId="3" borderId="0" xfId="0" applyNumberFormat="1" applyFont="1" applyFill="1" applyAlignment="1">
      <alignment horizontal="center" vertical="center" wrapText="1"/>
    </xf>
    <xf numFmtId="1" fontId="84" fillId="2" borderId="1"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88" fillId="3" borderId="0" xfId="0" applyFont="1" applyFill="1" applyAlignment="1">
      <alignment horizontal="center" vertical="center"/>
    </xf>
    <xf numFmtId="2" fontId="87" fillId="3" borderId="0" xfId="0" applyNumberFormat="1" applyFont="1" applyFill="1" applyAlignment="1">
      <alignment horizontal="center" vertical="center"/>
    </xf>
    <xf numFmtId="0" fontId="87" fillId="3" borderId="0" xfId="0" applyFont="1" applyFill="1" applyAlignment="1">
      <alignment horizontal="left" vertical="center" wrapText="1"/>
    </xf>
    <xf numFmtId="0" fontId="88" fillId="3" borderId="6" xfId="0" applyFont="1" applyFill="1" applyBorder="1" applyAlignment="1">
      <alignment horizontal="center" vertical="center"/>
    </xf>
    <xf numFmtId="2" fontId="90" fillId="3" borderId="6" xfId="0" applyNumberFormat="1" applyFont="1" applyFill="1" applyBorder="1" applyAlignment="1">
      <alignment horizontal="center" vertical="center"/>
    </xf>
    <xf numFmtId="2" fontId="88" fillId="3" borderId="0" xfId="0" applyNumberFormat="1" applyFont="1" applyFill="1" applyAlignment="1">
      <alignment horizontal="center" vertical="center" wrapText="1"/>
    </xf>
    <xf numFmtId="3" fontId="87" fillId="3" borderId="0" xfId="0" applyNumberFormat="1" applyFont="1" applyFill="1" applyAlignment="1">
      <alignment horizontal="center" vertical="center" wrapText="1"/>
    </xf>
    <xf numFmtId="174" fontId="87" fillId="3" borderId="0" xfId="0" applyNumberFormat="1" applyFont="1" applyFill="1" applyAlignment="1">
      <alignment horizontal="center" vertical="center" wrapText="1"/>
    </xf>
    <xf numFmtId="2" fontId="87" fillId="3" borderId="0" xfId="0" applyNumberFormat="1" applyFont="1" applyFill="1" applyAlignment="1">
      <alignment horizontal="center" vertical="center" wrapText="1"/>
    </xf>
    <xf numFmtId="0" fontId="77" fillId="3" borderId="0" xfId="0" applyFont="1" applyFill="1" applyAlignment="1">
      <alignment horizontal="center" vertical="center" wrapText="1"/>
    </xf>
    <xf numFmtId="168" fontId="78" fillId="0" borderId="0" xfId="0" applyNumberFormat="1" applyFont="1" applyAlignment="1">
      <alignment vertical="center"/>
    </xf>
    <xf numFmtId="0" fontId="90" fillId="3" borderId="6" xfId="0" applyFont="1" applyFill="1" applyBorder="1" applyAlignment="1">
      <alignment horizontal="center" vertical="center"/>
    </xf>
    <xf numFmtId="0" fontId="77" fillId="0" borderId="0" xfId="0" applyFont="1" applyAlignment="1">
      <alignment vertical="center" wrapText="1"/>
    </xf>
    <xf numFmtId="166" fontId="77" fillId="0" borderId="0" xfId="1" applyFont="1" applyAlignment="1">
      <alignment horizontal="center" vertical="center" wrapText="1"/>
    </xf>
    <xf numFmtId="9" fontId="77" fillId="0" borderId="0" xfId="0" applyNumberFormat="1" applyFont="1" applyAlignment="1">
      <alignment horizontal="center" vertical="center" wrapText="1"/>
    </xf>
    <xf numFmtId="166" fontId="83" fillId="6" borderId="0" xfId="0" applyNumberFormat="1" applyFont="1" applyFill="1" applyAlignment="1">
      <alignment horizontal="center" vertical="center" wrapText="1"/>
    </xf>
    <xf numFmtId="174" fontId="77" fillId="4" borderId="1" xfId="0" applyNumberFormat="1" applyFont="1" applyFill="1" applyBorder="1" applyAlignment="1">
      <alignment horizontal="center" vertical="center" wrapText="1"/>
    </xf>
    <xf numFmtId="0" fontId="77" fillId="4" borderId="1" xfId="0" applyFont="1" applyFill="1" applyBorder="1" applyAlignment="1">
      <alignment vertical="center" wrapText="1"/>
    </xf>
    <xf numFmtId="166" fontId="88" fillId="3" borderId="0" xfId="0" applyNumberFormat="1" applyFont="1" applyFill="1" applyAlignment="1">
      <alignment horizontal="center" vertical="center" wrapText="1"/>
    </xf>
    <xf numFmtId="1" fontId="77" fillId="4" borderId="1" xfId="0" applyNumberFormat="1" applyFont="1" applyFill="1" applyBorder="1" applyAlignment="1">
      <alignment horizontal="center" vertical="center" wrapText="1"/>
    </xf>
    <xf numFmtId="0" fontId="78" fillId="0" borderId="0" xfId="0" applyFont="1" applyAlignment="1">
      <alignment vertical="center" wrapText="1"/>
    </xf>
    <xf numFmtId="1" fontId="78" fillId="0" borderId="0" xfId="0" applyNumberFormat="1" applyFont="1" applyAlignment="1">
      <alignment horizontal="center" vertical="center" wrapText="1"/>
    </xf>
    <xf numFmtId="166" fontId="78" fillId="0" borderId="0" xfId="0" applyNumberFormat="1" applyFont="1" applyAlignment="1">
      <alignment horizontal="center" vertical="center" wrapText="1"/>
    </xf>
    <xf numFmtId="168" fontId="77" fillId="0" borderId="0" xfId="0" applyNumberFormat="1" applyFont="1" applyAlignment="1">
      <alignment horizontal="center" vertical="center" wrapText="1"/>
    </xf>
    <xf numFmtId="169" fontId="89" fillId="3" borderId="0" xfId="0" applyNumberFormat="1" applyFont="1" applyFill="1"/>
    <xf numFmtId="0" fontId="79" fillId="3" borderId="0" xfId="0" applyFont="1" applyFill="1" applyAlignment="1">
      <alignment horizontal="center"/>
    </xf>
    <xf numFmtId="0" fontId="79" fillId="3" borderId="0" xfId="0" applyFont="1" applyFill="1"/>
    <xf numFmtId="1" fontId="79" fillId="3" borderId="0" xfId="0" applyNumberFormat="1" applyFont="1" applyFill="1" applyAlignment="1">
      <alignment horizontal="center"/>
    </xf>
    <xf numFmtId="169" fontId="77" fillId="0" borderId="0" xfId="0" applyNumberFormat="1" applyFont="1" applyAlignment="1">
      <alignment vertical="center"/>
    </xf>
    <xf numFmtId="0" fontId="91" fillId="3" borderId="0" xfId="0" applyFont="1" applyFill="1"/>
    <xf numFmtId="166" fontId="91" fillId="4" borderId="0" xfId="0" applyNumberFormat="1" applyFont="1" applyFill="1" applyAlignment="1">
      <alignment horizontal="center"/>
    </xf>
    <xf numFmtId="0" fontId="91" fillId="3" borderId="0" xfId="0" applyFont="1" applyFill="1" applyAlignment="1">
      <alignment horizontal="center"/>
    </xf>
    <xf numFmtId="0" fontId="77" fillId="3" borderId="0" xfId="0" applyFont="1" applyFill="1" applyAlignment="1">
      <alignment vertical="top" wrapText="1"/>
    </xf>
    <xf numFmtId="0" fontId="26" fillId="3" borderId="0" xfId="0" applyFont="1" applyFill="1" applyAlignment="1">
      <alignment vertical="top" wrapText="1"/>
    </xf>
    <xf numFmtId="0" fontId="92" fillId="3" borderId="0" xfId="0" applyFont="1" applyFill="1" applyAlignment="1">
      <alignment horizontal="left" vertical="top" wrapText="1"/>
    </xf>
    <xf numFmtId="0" fontId="26" fillId="3" borderId="0" xfId="0" applyFont="1" applyFill="1" applyAlignment="1">
      <alignment horizontal="left" vertical="top" wrapText="1"/>
    </xf>
    <xf numFmtId="0" fontId="26" fillId="2" borderId="0" xfId="0" applyFont="1" applyFill="1" applyAlignment="1">
      <alignment horizontal="center" vertical="center"/>
    </xf>
    <xf numFmtId="0" fontId="8" fillId="3" borderId="2" xfId="0" applyFont="1" applyFill="1" applyBorder="1" applyAlignment="1">
      <alignment vertical="center" wrapText="1"/>
    </xf>
    <xf numFmtId="166" fontId="9" fillId="2" borderId="8" xfId="0" applyNumberFormat="1" applyFont="1" applyFill="1" applyBorder="1" applyAlignment="1">
      <alignment horizontal="center" vertical="center"/>
    </xf>
    <xf numFmtId="166" fontId="83" fillId="2" borderId="1" xfId="0" applyNumberFormat="1" applyFont="1" applyFill="1" applyBorder="1" applyAlignment="1">
      <alignment horizontal="center" vertical="center"/>
    </xf>
    <xf numFmtId="166" fontId="24" fillId="5" borderId="1" xfId="4" applyFont="1" applyFill="1" applyBorder="1" applyAlignment="1">
      <alignment horizontal="center" vertical="top" wrapText="1"/>
    </xf>
    <xf numFmtId="0" fontId="31" fillId="4" borderId="1" xfId="3" applyFont="1" applyFill="1" applyBorder="1" applyAlignment="1">
      <alignment vertical="center" wrapText="1"/>
    </xf>
    <xf numFmtId="0" fontId="4" fillId="4" borderId="1" xfId="0" applyFont="1" applyFill="1" applyBorder="1" applyAlignment="1">
      <alignment horizontal="center"/>
    </xf>
    <xf numFmtId="0" fontId="95" fillId="3" borderId="0" xfId="0" applyFont="1" applyFill="1"/>
    <xf numFmtId="0" fontId="94" fillId="3" borderId="0" xfId="0" applyFont="1" applyFill="1"/>
    <xf numFmtId="166" fontId="94" fillId="2" borderId="0" xfId="1" applyFont="1" applyFill="1" applyAlignment="1">
      <alignment vertical="top" wrapText="1"/>
    </xf>
    <xf numFmtId="0" fontId="8" fillId="8" borderId="0" xfId="0" applyFont="1" applyFill="1" applyAlignment="1">
      <alignment horizontal="center" vertical="center" wrapText="1"/>
    </xf>
    <xf numFmtId="0" fontId="49" fillId="2" borderId="0" xfId="0" applyFont="1" applyFill="1" applyAlignment="1">
      <alignment horizontal="right" vertical="center"/>
    </xf>
    <xf numFmtId="0" fontId="12" fillId="2" borderId="0" xfId="0" applyFont="1" applyFill="1" applyAlignment="1" applyProtection="1">
      <alignment horizontal="center" vertical="center"/>
      <protection hidden="1"/>
    </xf>
    <xf numFmtId="171" fontId="49" fillId="2" borderId="0" xfId="0" applyNumberFormat="1" applyFont="1" applyFill="1" applyAlignment="1">
      <alignment horizontal="right" vertical="center"/>
    </xf>
    <xf numFmtId="2" fontId="31" fillId="2" borderId="0" xfId="4" applyNumberFormat="1" applyFont="1" applyFill="1" applyBorder="1" applyAlignment="1" applyProtection="1">
      <alignment horizontal="center" vertical="center"/>
      <protection hidden="1"/>
    </xf>
    <xf numFmtId="166" fontId="4" fillId="2" borderId="0" xfId="1" applyFont="1" applyFill="1" applyAlignment="1">
      <alignment vertical="top" wrapText="1"/>
    </xf>
    <xf numFmtId="166" fontId="28" fillId="2" borderId="0" xfId="4" applyFont="1" applyFill="1" applyBorder="1"/>
    <xf numFmtId="0" fontId="16" fillId="3" borderId="0" xfId="0" applyFont="1" applyFill="1" applyAlignment="1">
      <alignment horizontal="left" vertical="top" wrapText="1" indent="1"/>
    </xf>
    <xf numFmtId="166" fontId="4" fillId="2" borderId="0" xfId="1" applyFont="1" applyFill="1"/>
    <xf numFmtId="171" fontId="98" fillId="2" borderId="0" xfId="0" applyNumberFormat="1" applyFont="1" applyFill="1" applyAlignment="1">
      <alignment horizontal="center" vertical="center"/>
    </xf>
    <xf numFmtId="175" fontId="98" fillId="2" borderId="0" xfId="0" applyNumberFormat="1" applyFont="1" applyFill="1" applyAlignment="1">
      <alignment horizontal="center" vertical="center"/>
    </xf>
    <xf numFmtId="0" fontId="98" fillId="2" borderId="0" xfId="0" applyFont="1" applyFill="1" applyAlignment="1">
      <alignment horizontal="center" vertical="center"/>
    </xf>
    <xf numFmtId="166" fontId="32" fillId="2" borderId="0" xfId="4" applyFont="1" applyFill="1" applyBorder="1" applyAlignment="1">
      <alignment horizontal="left"/>
    </xf>
    <xf numFmtId="166" fontId="28" fillId="2" borderId="0" xfId="1" applyFont="1" applyFill="1" applyBorder="1"/>
    <xf numFmtId="168" fontId="97" fillId="2" borderId="0" xfId="0" applyNumberFormat="1" applyFont="1" applyFill="1"/>
    <xf numFmtId="166" fontId="96" fillId="2" borderId="0" xfId="1" applyFont="1" applyFill="1" applyBorder="1"/>
    <xf numFmtId="0" fontId="47" fillId="2" borderId="0" xfId="0" applyFont="1" applyFill="1"/>
    <xf numFmtId="166" fontId="28" fillId="2" borderId="0" xfId="4" applyFont="1" applyFill="1" applyBorder="1" applyAlignment="1"/>
    <xf numFmtId="166" fontId="5" fillId="2" borderId="0" xfId="1" applyFont="1" applyFill="1" applyBorder="1" applyAlignment="1">
      <alignment horizontal="center" vertical="top" wrapText="1"/>
    </xf>
    <xf numFmtId="166" fontId="5" fillId="2" borderId="0" xfId="1" applyFont="1" applyFill="1" applyBorder="1" applyAlignment="1">
      <alignment vertical="top" wrapText="1"/>
    </xf>
    <xf numFmtId="166" fontId="94" fillId="2" borderId="0" xfId="1" applyFont="1" applyFill="1" applyBorder="1" applyAlignment="1">
      <alignment vertical="top" wrapText="1"/>
    </xf>
    <xf numFmtId="166" fontId="32" fillId="2" borderId="0" xfId="4" applyFont="1" applyFill="1" applyBorder="1" applyAlignment="1"/>
    <xf numFmtId="166" fontId="5" fillId="2" borderId="0" xfId="1" applyFont="1" applyFill="1" applyBorder="1"/>
    <xf numFmtId="166" fontId="66" fillId="2" borderId="0" xfId="1" applyFont="1" applyFill="1" applyBorder="1"/>
    <xf numFmtId="166" fontId="4" fillId="2" borderId="0" xfId="1" applyFont="1" applyFill="1" applyBorder="1" applyAlignment="1">
      <alignment vertical="top" wrapText="1"/>
    </xf>
    <xf numFmtId="175" fontId="5" fillId="2" borderId="0" xfId="1" applyNumberFormat="1" applyFont="1" applyFill="1" applyBorder="1"/>
    <xf numFmtId="166" fontId="5" fillId="2" borderId="0" xfId="1" applyFont="1" applyFill="1" applyBorder="1" applyAlignment="1">
      <alignment horizontal="left" vertical="center"/>
    </xf>
    <xf numFmtId="166" fontId="97" fillId="2" borderId="0" xfId="1" applyFont="1" applyFill="1" applyBorder="1"/>
    <xf numFmtId="166" fontId="4" fillId="2" borderId="0" xfId="1" applyFont="1" applyFill="1" applyBorder="1" applyAlignment="1">
      <alignment horizontal="left" vertical="center"/>
    </xf>
    <xf numFmtId="166" fontId="4" fillId="2" borderId="0" xfId="1" applyFont="1" applyFill="1" applyBorder="1"/>
    <xf numFmtId="166" fontId="24" fillId="17" borderId="0" xfId="1" applyFont="1" applyFill="1" applyAlignment="1">
      <alignment horizontal="center" vertical="center" wrapText="1"/>
    </xf>
    <xf numFmtId="166" fontId="99" fillId="2" borderId="1" xfId="4" applyFont="1" applyFill="1" applyBorder="1" applyAlignment="1">
      <alignment horizontal="center"/>
    </xf>
    <xf numFmtId="176" fontId="99" fillId="2" borderId="1" xfId="0" applyNumberFormat="1" applyFont="1" applyFill="1" applyBorder="1" applyAlignment="1">
      <alignment horizontal="center" vertical="center"/>
    </xf>
    <xf numFmtId="9" fontId="100" fillId="2" borderId="35" xfId="1" applyNumberFormat="1" applyFont="1" applyFill="1" applyBorder="1" applyAlignment="1">
      <alignment horizontal="left" vertical="center"/>
    </xf>
    <xf numFmtId="166" fontId="101" fillId="2" borderId="0" xfId="1" applyFont="1" applyFill="1" applyAlignment="1">
      <alignment horizontal="left" vertical="center"/>
    </xf>
    <xf numFmtId="166" fontId="100" fillId="2" borderId="0" xfId="1" applyFont="1" applyFill="1"/>
    <xf numFmtId="0" fontId="26" fillId="0" borderId="0" xfId="0" applyFont="1" applyAlignment="1">
      <alignment vertical="center"/>
    </xf>
    <xf numFmtId="166" fontId="14" fillId="16" borderId="0" xfId="4" applyFont="1" applyFill="1" applyBorder="1" applyAlignment="1">
      <alignment horizontal="center" vertical="top" wrapText="1"/>
    </xf>
    <xf numFmtId="0" fontId="14" fillId="2" borderId="1" xfId="0" applyFont="1" applyFill="1" applyBorder="1" applyAlignment="1">
      <alignment horizontal="center" wrapText="1"/>
    </xf>
    <xf numFmtId="0" fontId="14" fillId="2" borderId="7" xfId="0" applyFont="1" applyFill="1" applyBorder="1" applyAlignment="1">
      <alignment horizontal="center" wrapText="1"/>
    </xf>
    <xf numFmtId="0" fontId="13" fillId="4" borderId="1" xfId="0" applyFont="1" applyFill="1" applyBorder="1" applyAlignment="1">
      <alignment horizontal="center" wrapText="1"/>
    </xf>
    <xf numFmtId="0" fontId="13" fillId="6" borderId="0" xfId="0" applyFont="1" applyFill="1" applyAlignment="1">
      <alignment horizontal="center" vertical="center"/>
    </xf>
    <xf numFmtId="173" fontId="4" fillId="4" borderId="16" xfId="0" applyNumberFormat="1" applyFont="1" applyFill="1" applyBorder="1" applyAlignment="1">
      <alignment horizontal="center"/>
    </xf>
    <xf numFmtId="0" fontId="4" fillId="4" borderId="17" xfId="0" applyFont="1" applyFill="1" applyBorder="1" applyAlignment="1">
      <alignment horizontal="center"/>
    </xf>
    <xf numFmtId="166" fontId="4" fillId="12" borderId="17" xfId="1" applyFont="1" applyFill="1" applyBorder="1" applyAlignment="1">
      <alignment horizontal="center"/>
    </xf>
    <xf numFmtId="0" fontId="4" fillId="12" borderId="17" xfId="0" applyFont="1" applyFill="1" applyBorder="1" applyAlignment="1">
      <alignment horizontal="center"/>
    </xf>
    <xf numFmtId="173" fontId="4" fillId="4" borderId="17" xfId="0" applyNumberFormat="1" applyFont="1" applyFill="1" applyBorder="1" applyAlignment="1">
      <alignment horizontal="center"/>
    </xf>
    <xf numFmtId="173" fontId="4" fillId="12" borderId="17" xfId="0" applyNumberFormat="1" applyFont="1" applyFill="1" applyBorder="1" applyAlignment="1">
      <alignment horizontal="center"/>
    </xf>
    <xf numFmtId="173" fontId="4" fillId="4" borderId="19" xfId="0" applyNumberFormat="1" applyFont="1" applyFill="1" applyBorder="1" applyAlignment="1">
      <alignment horizontal="center"/>
    </xf>
    <xf numFmtId="166" fontId="4" fillId="12" borderId="1" xfId="1" applyFont="1" applyFill="1" applyBorder="1" applyAlignment="1">
      <alignment horizontal="center"/>
    </xf>
    <xf numFmtId="0" fontId="4" fillId="12" borderId="1" xfId="0" applyFont="1" applyFill="1" applyBorder="1" applyAlignment="1">
      <alignment horizontal="center"/>
    </xf>
    <xf numFmtId="173" fontId="4" fillId="12"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14" fillId="4" borderId="1" xfId="0" applyFont="1" applyFill="1" applyBorder="1" applyAlignment="1" applyProtection="1">
      <alignment horizontal="center" vertical="center" wrapText="1"/>
      <protection locked="0"/>
    </xf>
    <xf numFmtId="166" fontId="4" fillId="2" borderId="0" xfId="1" applyFill="1" applyAlignment="1"/>
    <xf numFmtId="165" fontId="78" fillId="0" borderId="0" xfId="0" applyNumberFormat="1" applyFont="1" applyAlignment="1">
      <alignment vertical="center"/>
    </xf>
    <xf numFmtId="166" fontId="102" fillId="2" borderId="0" xfId="4" applyFont="1" applyFill="1" applyBorder="1" applyAlignment="1"/>
    <xf numFmtId="0" fontId="32" fillId="3" borderId="0" xfId="0" applyFont="1" applyFill="1" applyAlignment="1">
      <alignment horizontal="center" vertical="top" wrapText="1"/>
    </xf>
    <xf numFmtId="0" fontId="23" fillId="3" borderId="0" xfId="0" applyFont="1" applyFill="1" applyAlignment="1">
      <alignment vertical="top" wrapText="1"/>
    </xf>
    <xf numFmtId="0" fontId="31" fillId="3" borderId="0" xfId="0" applyFont="1" applyFill="1" applyAlignment="1">
      <alignment vertical="top" wrapText="1"/>
    </xf>
    <xf numFmtId="0" fontId="103" fillId="3" borderId="0" xfId="0" applyFont="1" applyFill="1" applyAlignment="1">
      <alignment vertical="top" wrapText="1"/>
    </xf>
    <xf numFmtId="0" fontId="23" fillId="3" borderId="0" xfId="0" applyFont="1" applyFill="1" applyAlignment="1">
      <alignment horizontal="center" vertical="top" wrapText="1"/>
    </xf>
    <xf numFmtId="0" fontId="52" fillId="3" borderId="0" xfId="0" applyFont="1" applyFill="1" applyAlignment="1">
      <alignment vertical="top" wrapText="1"/>
    </xf>
    <xf numFmtId="0" fontId="51" fillId="3" borderId="0" xfId="0" applyFont="1" applyFill="1" applyAlignment="1">
      <alignment vertical="top" wrapText="1"/>
    </xf>
    <xf numFmtId="0" fontId="51" fillId="3" borderId="0" xfId="0" applyFont="1" applyFill="1" applyAlignment="1">
      <alignment horizontal="center" vertical="top" wrapText="1"/>
    </xf>
    <xf numFmtId="0" fontId="32" fillId="2" borderId="1" xfId="0" applyFont="1" applyFill="1" applyBorder="1"/>
    <xf numFmtId="167" fontId="32" fillId="2" borderId="1" xfId="0" applyNumberFormat="1" applyFont="1" applyFill="1" applyBorder="1"/>
    <xf numFmtId="0" fontId="16" fillId="2" borderId="1" xfId="0" applyFont="1" applyFill="1" applyBorder="1" applyAlignment="1">
      <alignment vertical="center"/>
    </xf>
    <xf numFmtId="167" fontId="10" fillId="2" borderId="0" xfId="3" applyNumberFormat="1" applyFont="1" applyFill="1" applyAlignment="1">
      <alignment vertical="center"/>
    </xf>
    <xf numFmtId="0" fontId="104" fillId="4" borderId="1" xfId="0" applyFont="1" applyFill="1" applyBorder="1"/>
    <xf numFmtId="167" fontId="31" fillId="4" borderId="1" xfId="3" applyNumberFormat="1" applyFont="1" applyFill="1" applyBorder="1" applyAlignment="1">
      <alignment horizontal="center" vertical="center"/>
    </xf>
    <xf numFmtId="167" fontId="26" fillId="4" borderId="1" xfId="3" applyNumberFormat="1" applyFont="1" applyFill="1" applyBorder="1" applyAlignment="1">
      <alignment horizontal="center" vertical="center"/>
    </xf>
    <xf numFmtId="167" fontId="28" fillId="4" borderId="1" xfId="3" applyNumberFormat="1" applyFont="1" applyFill="1" applyBorder="1" applyAlignment="1">
      <alignment vertical="center"/>
    </xf>
    <xf numFmtId="166" fontId="26" fillId="5" borderId="1" xfId="4" applyFont="1" applyFill="1" applyBorder="1" applyAlignment="1">
      <alignment horizontal="center" vertical="top" wrapText="1"/>
    </xf>
    <xf numFmtId="0" fontId="31" fillId="4" borderId="1" xfId="0" applyFont="1" applyFill="1" applyBorder="1" applyAlignment="1">
      <alignment horizontal="center" wrapText="1"/>
    </xf>
    <xf numFmtId="0" fontId="31" fillId="2" borderId="1" xfId="0" applyFont="1" applyFill="1" applyBorder="1" applyAlignment="1">
      <alignment horizontal="center" wrapText="1"/>
    </xf>
    <xf numFmtId="0" fontId="31" fillId="2" borderId="7" xfId="0" applyFont="1" applyFill="1" applyBorder="1" applyAlignment="1">
      <alignment horizontal="center" wrapText="1"/>
    </xf>
    <xf numFmtId="0" fontId="8" fillId="2" borderId="1" xfId="0" applyFont="1" applyFill="1" applyBorder="1" applyAlignment="1">
      <alignment vertical="center" wrapText="1"/>
    </xf>
    <xf numFmtId="1" fontId="14" fillId="2" borderId="1" xfId="0" applyNumberFormat="1" applyFont="1" applyFill="1" applyBorder="1" applyAlignment="1">
      <alignment vertical="center" wrapText="1"/>
    </xf>
    <xf numFmtId="0" fontId="8" fillId="2"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vertical="center"/>
    </xf>
    <xf numFmtId="1" fontId="31"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166" fontId="14" fillId="5" borderId="1" xfId="4" applyFont="1" applyFill="1" applyBorder="1" applyAlignment="1">
      <alignment horizontal="center" vertical="top" wrapText="1"/>
    </xf>
    <xf numFmtId="0" fontId="16" fillId="5" borderId="0" xfId="0" applyFont="1" applyFill="1" applyAlignment="1">
      <alignment vertical="top" wrapText="1"/>
    </xf>
    <xf numFmtId="0" fontId="8" fillId="5" borderId="0" xfId="0" applyFont="1" applyFill="1" applyAlignment="1">
      <alignment vertical="top" wrapText="1"/>
    </xf>
    <xf numFmtId="0" fontId="26" fillId="4" borderId="1" xfId="3" applyFont="1" applyFill="1" applyBorder="1" applyAlignment="1" applyProtection="1">
      <alignment horizontal="center" vertical="center" wrapText="1"/>
      <protection locked="0"/>
    </xf>
    <xf numFmtId="9" fontId="4" fillId="3" borderId="0" xfId="0" applyNumberFormat="1" applyFont="1" applyFill="1" applyAlignment="1">
      <alignment horizontal="center"/>
    </xf>
    <xf numFmtId="165" fontId="4" fillId="3" borderId="0" xfId="0" applyNumberFormat="1" applyFont="1" applyFill="1" applyAlignment="1">
      <alignment horizontal="center"/>
    </xf>
    <xf numFmtId="173" fontId="4" fillId="3" borderId="0" xfId="1" applyNumberFormat="1" applyFont="1" applyFill="1" applyAlignment="1">
      <alignment horizontal="center"/>
    </xf>
    <xf numFmtId="166" fontId="6" fillId="2" borderId="0" xfId="1" applyFont="1" applyFill="1" applyAlignment="1">
      <alignment horizontal="right" vertical="top" wrapText="1"/>
    </xf>
    <xf numFmtId="166" fontId="105" fillId="2" borderId="0" xfId="1" applyFont="1" applyFill="1" applyAlignment="1">
      <alignment horizontal="right" vertical="top" wrapText="1"/>
    </xf>
    <xf numFmtId="166" fontId="105" fillId="2" borderId="1" xfId="1" applyFont="1" applyFill="1" applyBorder="1" applyAlignment="1">
      <alignment horizontal="center"/>
    </xf>
    <xf numFmtId="166" fontId="7" fillId="2" borderId="0" xfId="1" applyFont="1" applyFill="1" applyAlignment="1">
      <alignment horizontal="right" vertical="top" wrapText="1"/>
    </xf>
    <xf numFmtId="17" fontId="4" fillId="3" borderId="0" xfId="0" applyNumberFormat="1" applyFont="1" applyFill="1"/>
    <xf numFmtId="166" fontId="106" fillId="2" borderId="0" xfId="1" applyFont="1" applyFill="1"/>
    <xf numFmtId="0" fontId="23" fillId="2" borderId="1" xfId="0" applyFont="1" applyFill="1" applyBorder="1" applyAlignment="1">
      <alignment horizontal="center" wrapText="1"/>
    </xf>
    <xf numFmtId="0" fontId="23" fillId="2" borderId="7" xfId="0" applyFont="1" applyFill="1" applyBorder="1" applyAlignment="1">
      <alignment horizontal="center" wrapText="1"/>
    </xf>
    <xf numFmtId="168" fontId="14" fillId="4" borderId="1" xfId="0" applyNumberFormat="1"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31" fillId="8" borderId="0" xfId="0" applyFont="1" applyFill="1" applyAlignment="1">
      <alignment horizontal="center" vertical="center"/>
    </xf>
    <xf numFmtId="166" fontId="31" fillId="2" borderId="0" xfId="4" applyFont="1" applyFill="1" applyProtection="1">
      <protection hidden="1"/>
    </xf>
    <xf numFmtId="166" fontId="31" fillId="11" borderId="4" xfId="4" applyFont="1" applyFill="1" applyBorder="1" applyProtection="1">
      <protection hidden="1"/>
    </xf>
    <xf numFmtId="0" fontId="10" fillId="8" borderId="0" xfId="0" applyFont="1" applyFill="1" applyAlignment="1">
      <alignment horizontal="center" vertical="center" wrapText="1"/>
    </xf>
    <xf numFmtId="166" fontId="107" fillId="2" borderId="0" xfId="1" applyFont="1" applyFill="1"/>
    <xf numFmtId="166" fontId="4" fillId="2" borderId="0" xfId="4" applyFont="1" applyFill="1"/>
    <xf numFmtId="166" fontId="61" fillId="2" borderId="0" xfId="4" applyFont="1" applyFill="1"/>
    <xf numFmtId="166" fontId="7" fillId="2" borderId="1" xfId="1" applyFont="1" applyFill="1" applyBorder="1" applyAlignment="1">
      <alignment horizontal="center"/>
    </xf>
    <xf numFmtId="17" fontId="7" fillId="2" borderId="0" xfId="1" applyNumberFormat="1" applyFont="1" applyFill="1"/>
    <xf numFmtId="166" fontId="7" fillId="2" borderId="0" xfId="1" applyFont="1" applyFill="1" applyAlignment="1">
      <alignment horizontal="left" vertical="top" wrapText="1"/>
    </xf>
    <xf numFmtId="166" fontId="7" fillId="2" borderId="0" xfId="1" applyFont="1" applyFill="1" applyAlignment="1">
      <alignment vertical="top" wrapText="1"/>
    </xf>
    <xf numFmtId="166" fontId="44" fillId="2" borderId="0" xfId="1" applyFont="1" applyFill="1" applyBorder="1" applyAlignment="1">
      <alignment horizontal="center" vertical="top" wrapText="1"/>
    </xf>
    <xf numFmtId="166" fontId="44" fillId="2" borderId="0" xfId="1" applyFont="1" applyFill="1" applyBorder="1" applyAlignment="1">
      <alignment vertical="top" wrapText="1"/>
    </xf>
    <xf numFmtId="168" fontId="2" fillId="2" borderId="0" xfId="0" applyNumberFormat="1" applyFont="1" applyFill="1"/>
    <xf numFmtId="166" fontId="61" fillId="2" borderId="0" xfId="1" applyFont="1" applyFill="1" applyAlignment="1">
      <alignment vertical="top" wrapText="1"/>
    </xf>
    <xf numFmtId="166" fontId="26" fillId="2" borderId="0" xfId="1" applyFont="1" applyFill="1" applyBorder="1"/>
    <xf numFmtId="166" fontId="7" fillId="2" borderId="0" xfId="1" applyFont="1" applyFill="1"/>
    <xf numFmtId="0" fontId="50" fillId="4" borderId="1" xfId="3" applyFont="1" applyFill="1" applyBorder="1" applyAlignment="1">
      <alignment vertical="center" wrapText="1"/>
    </xf>
    <xf numFmtId="0" fontId="50" fillId="4" borderId="1" xfId="3" applyFont="1" applyFill="1" applyBorder="1" applyAlignment="1" applyProtection="1">
      <alignment vertical="center" wrapText="1"/>
      <protection locked="0"/>
    </xf>
    <xf numFmtId="0" fontId="16" fillId="18" borderId="0" xfId="0" applyFont="1" applyFill="1" applyAlignment="1">
      <alignment vertical="top" wrapText="1"/>
    </xf>
    <xf numFmtId="1" fontId="26" fillId="2" borderId="8" xfId="0" applyNumberFormat="1" applyFont="1" applyFill="1" applyBorder="1" applyAlignment="1">
      <alignment horizontal="center" vertical="center" wrapText="1"/>
    </xf>
    <xf numFmtId="0" fontId="1" fillId="3" borderId="0" xfId="0" applyFont="1" applyFill="1" applyAlignment="1">
      <alignment vertical="top" wrapText="1"/>
    </xf>
    <xf numFmtId="0" fontId="108" fillId="3" borderId="0" xfId="3" applyFont="1" applyFill="1" applyAlignment="1">
      <alignment horizontal="left" vertical="center" wrapText="1"/>
    </xf>
    <xf numFmtId="166" fontId="109" fillId="3" borderId="0" xfId="4" applyFont="1" applyFill="1" applyAlignment="1">
      <alignment horizontal="center" vertical="top" wrapText="1"/>
    </xf>
    <xf numFmtId="166" fontId="88" fillId="2" borderId="0" xfId="1" applyFont="1" applyFill="1" applyAlignment="1">
      <alignment horizontal="center" vertical="center" wrapText="1"/>
    </xf>
    <xf numFmtId="0" fontId="78" fillId="2" borderId="0" xfId="0" applyFont="1" applyFill="1" applyAlignment="1">
      <alignment vertical="center"/>
    </xf>
    <xf numFmtId="0" fontId="54" fillId="3" borderId="0" xfId="0" applyFont="1" applyFill="1"/>
    <xf numFmtId="167" fontId="4" fillId="3" borderId="0" xfId="0" applyNumberFormat="1" applyFont="1" applyFill="1"/>
    <xf numFmtId="17" fontId="4" fillId="19" borderId="0" xfId="0" applyNumberFormat="1" applyFont="1" applyFill="1" applyAlignment="1">
      <alignment horizontal="right" vertical="top"/>
    </xf>
    <xf numFmtId="9" fontId="110" fillId="2" borderId="1" xfId="1" applyNumberFormat="1" applyFont="1" applyFill="1" applyBorder="1" applyAlignment="1">
      <alignment horizontal="center"/>
    </xf>
    <xf numFmtId="166" fontId="110" fillId="2" borderId="1" xfId="1" applyFont="1" applyFill="1" applyBorder="1" applyAlignment="1">
      <alignment horizontal="center"/>
    </xf>
    <xf numFmtId="166" fontId="14" fillId="3" borderId="0" xfId="4" applyFont="1" applyFill="1" applyBorder="1" applyAlignment="1">
      <alignment horizontal="center" vertical="top" wrapText="1"/>
    </xf>
    <xf numFmtId="0" fontId="112" fillId="0" borderId="0" xfId="0" applyFont="1" applyAlignment="1">
      <alignment horizontal="left"/>
    </xf>
    <xf numFmtId="9" fontId="112" fillId="0" borderId="0" xfId="0" applyNumberFormat="1" applyFont="1"/>
    <xf numFmtId="0" fontId="50" fillId="3" borderId="0" xfId="0" applyFont="1" applyFill="1" applyAlignment="1">
      <alignment vertical="top" wrapText="1"/>
    </xf>
    <xf numFmtId="166" fontId="6" fillId="2" borderId="0" xfId="1" applyFont="1" applyFill="1" applyAlignment="1">
      <alignment horizontal="center"/>
    </xf>
    <xf numFmtId="0" fontId="31" fillId="14" borderId="0" xfId="0" applyFont="1" applyFill="1" applyAlignment="1">
      <alignment vertical="top" wrapText="1"/>
    </xf>
    <xf numFmtId="166" fontId="5" fillId="0" borderId="0" xfId="1" applyFont="1" applyFill="1"/>
    <xf numFmtId="0" fontId="63" fillId="0" borderId="0" xfId="1" applyNumberFormat="1" applyFont="1" applyFill="1" applyAlignment="1">
      <alignment horizontal="left" vertical="center"/>
    </xf>
    <xf numFmtId="166" fontId="6" fillId="21" borderId="0" xfId="1" applyFont="1" applyFill="1" applyAlignment="1">
      <alignment horizontal="left" vertical="center"/>
    </xf>
    <xf numFmtId="166" fontId="5" fillId="21" borderId="0" xfId="1" applyFont="1" applyFill="1" applyAlignment="1">
      <alignment horizontal="left" vertical="center"/>
    </xf>
    <xf numFmtId="166" fontId="5" fillId="21" borderId="0" xfId="1" applyFont="1" applyFill="1"/>
    <xf numFmtId="173" fontId="0" fillId="21" borderId="1" xfId="0" applyNumberFormat="1" applyFill="1" applyBorder="1"/>
    <xf numFmtId="0" fontId="8" fillId="20" borderId="0" xfId="0" applyFont="1" applyFill="1" applyAlignment="1">
      <alignment vertical="top" wrapText="1"/>
    </xf>
    <xf numFmtId="174" fontId="77" fillId="20" borderId="1" xfId="0" applyNumberFormat="1" applyFont="1" applyFill="1" applyBorder="1" applyAlignment="1">
      <alignment horizontal="center" vertical="center" wrapText="1"/>
    </xf>
    <xf numFmtId="168" fontId="84" fillId="22" borderId="1" xfId="0" applyNumberFormat="1" applyFont="1" applyFill="1" applyBorder="1" applyAlignment="1">
      <alignment horizontal="center" vertical="center"/>
    </xf>
    <xf numFmtId="168" fontId="23" fillId="22" borderId="1" xfId="0" applyNumberFormat="1" applyFont="1" applyFill="1" applyBorder="1" applyAlignment="1">
      <alignment horizontal="center" vertical="center"/>
    </xf>
    <xf numFmtId="0" fontId="32" fillId="2" borderId="0" xfId="3" applyFont="1" applyFill="1" applyAlignment="1">
      <alignment vertical="center"/>
    </xf>
    <xf numFmtId="168" fontId="31" fillId="22" borderId="1" xfId="0" applyNumberFormat="1" applyFont="1" applyFill="1" applyBorder="1" applyAlignment="1">
      <alignment horizontal="center" vertical="center"/>
    </xf>
    <xf numFmtId="168" fontId="23" fillId="0" borderId="1" xfId="0" applyNumberFormat="1" applyFont="1" applyBorder="1" applyAlignment="1">
      <alignment horizontal="center" vertical="center"/>
    </xf>
    <xf numFmtId="168" fontId="84" fillId="0" borderId="1" xfId="0" applyNumberFormat="1" applyFont="1" applyBorder="1" applyAlignment="1">
      <alignment horizontal="center" vertical="center"/>
    </xf>
    <xf numFmtId="0" fontId="87" fillId="20" borderId="1" xfId="0" applyFont="1" applyFill="1" applyBorder="1" applyAlignment="1">
      <alignment horizontal="center" vertical="center" wrapText="1"/>
    </xf>
    <xf numFmtId="0" fontId="77" fillId="20" borderId="1" xfId="0" applyFont="1" applyFill="1" applyBorder="1" applyAlignment="1">
      <alignment vertical="center" wrapText="1"/>
    </xf>
    <xf numFmtId="0" fontId="31" fillId="3" borderId="2" xfId="0" applyFont="1" applyFill="1" applyBorder="1" applyAlignment="1">
      <alignment vertical="center" wrapText="1"/>
    </xf>
    <xf numFmtId="0" fontId="16" fillId="20" borderId="0" xfId="0" applyFont="1" applyFill="1" applyAlignment="1">
      <alignment vertical="top" wrapText="1"/>
    </xf>
    <xf numFmtId="1" fontId="14" fillId="23" borderId="8" xfId="0" applyNumberFormat="1" applyFont="1" applyFill="1" applyBorder="1" applyAlignment="1">
      <alignment horizontal="center" vertical="center" wrapText="1"/>
    </xf>
    <xf numFmtId="166" fontId="6" fillId="23" borderId="0" xfId="1" applyFont="1" applyFill="1" applyAlignment="1">
      <alignment horizontal="left" vertical="center"/>
    </xf>
    <xf numFmtId="166" fontId="5" fillId="23" borderId="0" xfId="1" applyFont="1" applyFill="1" applyAlignment="1">
      <alignment horizontal="left" vertical="center"/>
    </xf>
    <xf numFmtId="166" fontId="5" fillId="23" borderId="0" xfId="1" applyFont="1" applyFill="1"/>
    <xf numFmtId="173" fontId="0" fillId="23" borderId="0" xfId="0" applyNumberFormat="1" applyFill="1"/>
    <xf numFmtId="1" fontId="77" fillId="25" borderId="1" xfId="0" applyNumberFormat="1" applyFont="1" applyFill="1" applyBorder="1" applyAlignment="1">
      <alignment horizontal="center" vertical="center" wrapText="1"/>
    </xf>
    <xf numFmtId="174" fontId="77" fillId="26" borderId="1" xfId="0" applyNumberFormat="1" applyFont="1" applyFill="1" applyBorder="1" applyAlignment="1" applyProtection="1">
      <alignment horizontal="center" vertical="center" wrapText="1"/>
      <protection locked="0"/>
    </xf>
    <xf numFmtId="1" fontId="77" fillId="24" borderId="1" xfId="0" applyNumberFormat="1" applyFont="1" applyFill="1" applyBorder="1" applyAlignment="1" applyProtection="1">
      <alignment horizontal="center" vertical="center" wrapText="1"/>
      <protection locked="0"/>
    </xf>
    <xf numFmtId="0" fontId="108" fillId="3" borderId="0" xfId="0" applyFont="1" applyFill="1" applyAlignment="1">
      <alignment vertical="top" wrapText="1"/>
    </xf>
    <xf numFmtId="0" fontId="115" fillId="3" borderId="0" xfId="0" applyFont="1" applyFill="1" applyAlignment="1">
      <alignment vertical="top" wrapText="1"/>
    </xf>
    <xf numFmtId="0" fontId="78" fillId="3" borderId="1" xfId="0" applyFont="1" applyFill="1" applyBorder="1" applyAlignment="1">
      <alignment horizontal="center" vertical="center"/>
    </xf>
    <xf numFmtId="10" fontId="9" fillId="22" borderId="0" xfId="0" applyNumberFormat="1" applyFont="1" applyFill="1" applyAlignment="1">
      <alignment horizontal="center" vertical="center"/>
    </xf>
    <xf numFmtId="10" fontId="83" fillId="22" borderId="0" xfId="0" applyNumberFormat="1" applyFont="1" applyFill="1" applyAlignment="1">
      <alignment horizontal="center" vertical="center"/>
    </xf>
    <xf numFmtId="10" fontId="83" fillId="6" borderId="0" xfId="0" applyNumberFormat="1" applyFont="1" applyFill="1" applyAlignment="1">
      <alignment horizontal="center" vertical="center"/>
    </xf>
    <xf numFmtId="10" fontId="9" fillId="6" borderId="0" xfId="0" applyNumberFormat="1" applyFont="1" applyFill="1" applyAlignment="1">
      <alignment horizontal="center" vertical="center"/>
    </xf>
    <xf numFmtId="0" fontId="8" fillId="14" borderId="1" xfId="0" applyFont="1" applyFill="1" applyBorder="1" applyAlignment="1">
      <alignment horizontal="center" vertical="center"/>
    </xf>
    <xf numFmtId="164" fontId="8" fillId="14" borderId="1" xfId="0" applyNumberFormat="1" applyFont="1" applyFill="1" applyBorder="1" applyAlignment="1">
      <alignment horizontal="center" vertical="center"/>
    </xf>
    <xf numFmtId="166" fontId="16" fillId="0" borderId="0" xfId="0" applyNumberFormat="1" applyFont="1" applyAlignment="1">
      <alignment vertical="center"/>
    </xf>
    <xf numFmtId="10" fontId="16" fillId="0" borderId="0" xfId="0" applyNumberFormat="1" applyFont="1" applyAlignment="1">
      <alignment vertical="center"/>
    </xf>
    <xf numFmtId="17" fontId="120" fillId="3" borderId="0" xfId="0" applyNumberFormat="1" applyFont="1" applyFill="1" applyAlignment="1">
      <alignment horizontal="center" vertical="center"/>
    </xf>
    <xf numFmtId="17" fontId="40" fillId="27" borderId="0" xfId="1" applyNumberFormat="1" applyFont="1" applyFill="1"/>
    <xf numFmtId="0" fontId="77" fillId="14" borderId="0" xfId="0" applyFont="1" applyFill="1" applyAlignment="1">
      <alignment vertical="center" wrapText="1"/>
    </xf>
    <xf numFmtId="0" fontId="16" fillId="14" borderId="0" xfId="0" applyFont="1" applyFill="1" applyAlignment="1">
      <alignment vertical="top" wrapText="1"/>
    </xf>
    <xf numFmtId="1" fontId="87" fillId="14" borderId="1" xfId="0" applyNumberFormat="1" applyFont="1" applyFill="1" applyBorder="1" applyAlignment="1">
      <alignment horizontal="center" vertical="center" wrapText="1"/>
    </xf>
    <xf numFmtId="0" fontId="84" fillId="14" borderId="1" xfId="0" applyFont="1" applyFill="1" applyBorder="1" applyAlignment="1">
      <alignment horizontal="center" vertical="center" wrapText="1"/>
    </xf>
    <xf numFmtId="0" fontId="87" fillId="14" borderId="2" xfId="0" applyFont="1" applyFill="1" applyBorder="1" applyAlignment="1">
      <alignment horizontal="center" vertical="center" wrapText="1"/>
    </xf>
    <xf numFmtId="0" fontId="78" fillId="14" borderId="0" xfId="0" applyFont="1" applyFill="1" applyAlignment="1">
      <alignment vertical="center"/>
    </xf>
    <xf numFmtId="1" fontId="77" fillId="14" borderId="0" xfId="0" applyNumberFormat="1" applyFont="1" applyFill="1" applyAlignment="1">
      <alignment horizontal="center" vertical="center" wrapText="1"/>
    </xf>
    <xf numFmtId="1" fontId="89" fillId="14" borderId="0" xfId="0" applyNumberFormat="1" applyFont="1" applyFill="1" applyAlignment="1">
      <alignment horizontal="center" vertical="center" wrapText="1"/>
    </xf>
    <xf numFmtId="166" fontId="88" fillId="14" borderId="0" xfId="4" applyFont="1" applyFill="1" applyAlignment="1">
      <alignment horizontal="center" vertical="top" wrapText="1"/>
    </xf>
    <xf numFmtId="166" fontId="88" fillId="14" borderId="0" xfId="1" applyFont="1" applyFill="1" applyAlignment="1">
      <alignment horizontal="center" vertical="center" wrapText="1"/>
    </xf>
    <xf numFmtId="9" fontId="87" fillId="14" borderId="1" xfId="0" applyNumberFormat="1" applyFont="1" applyFill="1" applyBorder="1" applyAlignment="1">
      <alignment horizontal="center" vertical="center" wrapText="1"/>
    </xf>
    <xf numFmtId="166" fontId="77" fillId="14" borderId="0" xfId="1" applyFont="1" applyFill="1" applyAlignment="1">
      <alignment horizontal="center" vertical="center" wrapText="1"/>
    </xf>
    <xf numFmtId="166" fontId="88" fillId="14" borderId="0" xfId="0" applyNumberFormat="1" applyFont="1" applyFill="1" applyAlignment="1">
      <alignment horizontal="center" vertical="center"/>
    </xf>
    <xf numFmtId="0" fontId="16" fillId="14" borderId="0" xfId="0" applyFont="1" applyFill="1" applyAlignment="1">
      <alignment vertical="center"/>
    </xf>
    <xf numFmtId="0" fontId="32" fillId="14" borderId="0" xfId="0" applyFont="1" applyFill="1" applyAlignment="1">
      <alignment vertical="top" wrapText="1"/>
    </xf>
    <xf numFmtId="1" fontId="14" fillId="14" borderId="1" xfId="0" applyNumberFormat="1" applyFont="1" applyFill="1" applyBorder="1" applyAlignment="1">
      <alignment horizontal="center" vertical="center" wrapText="1"/>
    </xf>
    <xf numFmtId="0" fontId="8" fillId="14" borderId="1" xfId="0" applyFont="1" applyFill="1" applyBorder="1" applyAlignment="1">
      <alignment horizontal="center" vertical="top" wrapText="1"/>
    </xf>
    <xf numFmtId="0" fontId="16" fillId="14" borderId="0" xfId="0" applyFont="1" applyFill="1" applyAlignment="1">
      <alignment horizontal="center" vertical="top" wrapText="1"/>
    </xf>
    <xf numFmtId="166" fontId="24" fillId="14" borderId="0" xfId="4" applyFont="1" applyFill="1" applyAlignment="1">
      <alignment horizontal="center" vertical="top" wrapText="1"/>
    </xf>
    <xf numFmtId="166" fontId="24" fillId="14" borderId="0" xfId="1" applyFont="1" applyFill="1" applyAlignment="1">
      <alignment horizontal="center" vertical="center" wrapText="1"/>
    </xf>
    <xf numFmtId="9" fontId="14" fillId="14" borderId="0" xfId="0" applyNumberFormat="1" applyFont="1" applyFill="1" applyAlignment="1">
      <alignment horizontal="center" vertical="center" wrapText="1"/>
    </xf>
    <xf numFmtId="166" fontId="8" fillId="14" borderId="0" xfId="1" applyFont="1" applyFill="1" applyAlignment="1">
      <alignment horizontal="center" vertical="center" wrapText="1"/>
    </xf>
    <xf numFmtId="166" fontId="24" fillId="14" borderId="0" xfId="0" applyNumberFormat="1" applyFont="1" applyFill="1" applyAlignment="1">
      <alignment horizontal="center" vertical="center"/>
    </xf>
    <xf numFmtId="171" fontId="47" fillId="14" borderId="0" xfId="0" applyNumberFormat="1" applyFont="1" applyFill="1" applyAlignment="1">
      <alignment vertical="center"/>
    </xf>
    <xf numFmtId="171" fontId="115" fillId="14" borderId="0" xfId="0" applyNumberFormat="1" applyFont="1" applyFill="1" applyAlignment="1">
      <alignment vertical="center"/>
    </xf>
    <xf numFmtId="0" fontId="14" fillId="14" borderId="1" xfId="0" applyFont="1" applyFill="1" applyBorder="1" applyAlignment="1">
      <alignment horizontal="center" vertical="top" wrapText="1"/>
    </xf>
    <xf numFmtId="0" fontId="26" fillId="14" borderId="0" xfId="0" applyFont="1" applyFill="1" applyAlignment="1">
      <alignment vertical="top" wrapText="1"/>
    </xf>
    <xf numFmtId="9" fontId="14" fillId="14" borderId="0" xfId="0" applyNumberFormat="1" applyFont="1" applyFill="1" applyAlignment="1">
      <alignment horizontal="center" vertical="top" wrapText="1"/>
    </xf>
    <xf numFmtId="166" fontId="8" fillId="14" borderId="0" xfId="1" applyFont="1" applyFill="1" applyAlignment="1">
      <alignment horizontal="center" vertical="top" wrapText="1"/>
    </xf>
    <xf numFmtId="166" fontId="24" fillId="14" borderId="0" xfId="3" applyNumberFormat="1" applyFont="1" applyFill="1" applyAlignment="1">
      <alignment horizontal="center" vertical="center" wrapText="1"/>
    </xf>
    <xf numFmtId="166" fontId="24" fillId="14" borderId="0" xfId="0" applyNumberFormat="1" applyFont="1" applyFill="1" applyAlignment="1">
      <alignment horizontal="center"/>
    </xf>
    <xf numFmtId="0" fontId="16" fillId="14" borderId="0" xfId="0" applyFont="1" applyFill="1"/>
    <xf numFmtId="0" fontId="14" fillId="14" borderId="1" xfId="3" applyFont="1" applyFill="1" applyBorder="1" applyAlignment="1">
      <alignment horizontal="center" vertical="center" wrapText="1"/>
    </xf>
    <xf numFmtId="0" fontId="16" fillId="14" borderId="0" xfId="3" applyFont="1" applyFill="1" applyAlignment="1">
      <alignment horizontal="left" vertical="center" wrapText="1"/>
    </xf>
    <xf numFmtId="0" fontId="28" fillId="14" borderId="0" xfId="3" applyFont="1" applyFill="1" applyAlignment="1">
      <alignment horizontal="center" vertical="center"/>
    </xf>
    <xf numFmtId="0" fontId="108" fillId="14" borderId="0" xfId="3" applyFont="1" applyFill="1" applyAlignment="1">
      <alignment horizontal="left" vertical="center"/>
    </xf>
    <xf numFmtId="0" fontId="16" fillId="14" borderId="0" xfId="3" applyFont="1" applyFill="1" applyAlignment="1">
      <alignment vertical="center" wrapText="1"/>
    </xf>
    <xf numFmtId="0" fontId="30" fillId="14" borderId="1" xfId="3" applyFont="1" applyFill="1" applyBorder="1" applyAlignment="1">
      <alignment horizontal="center" vertical="center" wrapText="1"/>
    </xf>
    <xf numFmtId="0" fontId="16" fillId="14" borderId="0" xfId="0" applyFont="1" applyFill="1" applyAlignment="1">
      <alignment vertical="center" wrapText="1"/>
    </xf>
    <xf numFmtId="167" fontId="11" fillId="14" borderId="0" xfId="3" applyNumberFormat="1" applyFont="1" applyFill="1" applyAlignment="1">
      <alignment vertical="center"/>
    </xf>
    <xf numFmtId="9" fontId="50" fillId="14" borderId="0" xfId="0" applyNumberFormat="1" applyFont="1" applyFill="1" applyAlignment="1">
      <alignment horizontal="center" vertical="center" wrapText="1"/>
    </xf>
    <xf numFmtId="0" fontId="11" fillId="14" borderId="1" xfId="3" applyFont="1" applyFill="1" applyBorder="1" applyAlignment="1">
      <alignment vertical="center"/>
    </xf>
    <xf numFmtId="0" fontId="11" fillId="14" borderId="1" xfId="3" applyFont="1" applyFill="1" applyBorder="1" applyAlignment="1">
      <alignment horizontal="center" vertical="center"/>
    </xf>
    <xf numFmtId="0" fontId="11" fillId="14" borderId="0" xfId="3" applyFont="1" applyFill="1" applyAlignment="1">
      <alignment vertical="center"/>
    </xf>
    <xf numFmtId="9" fontId="31" fillId="14" borderId="0" xfId="0" applyNumberFormat="1" applyFont="1" applyFill="1" applyAlignment="1">
      <alignment horizontal="center" vertical="center" wrapText="1"/>
    </xf>
    <xf numFmtId="166" fontId="8" fillId="14" borderId="0" xfId="3" applyNumberFormat="1" applyFont="1" applyFill="1" applyAlignment="1">
      <alignment horizontal="center" vertical="center"/>
    </xf>
    <xf numFmtId="0" fontId="114" fillId="14" borderId="0" xfId="3" applyFont="1" applyFill="1" applyAlignment="1">
      <alignment vertical="center"/>
    </xf>
    <xf numFmtId="167" fontId="114" fillId="14" borderId="0" xfId="3" applyNumberFormat="1" applyFont="1" applyFill="1" applyAlignment="1">
      <alignment vertical="center"/>
    </xf>
    <xf numFmtId="1" fontId="14" fillId="14" borderId="8" xfId="0" applyNumberFormat="1" applyFont="1" applyFill="1" applyBorder="1" applyAlignment="1">
      <alignment horizontal="center" vertical="center" wrapText="1"/>
    </xf>
    <xf numFmtId="1" fontId="23" fillId="14" borderId="1" xfId="0" applyNumberFormat="1"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3" fillId="14" borderId="7" xfId="0" applyFont="1" applyFill="1" applyBorder="1" applyAlignment="1">
      <alignment horizontal="center" vertical="center"/>
    </xf>
    <xf numFmtId="1" fontId="8" fillId="14" borderId="0" xfId="0" applyNumberFormat="1" applyFont="1" applyFill="1" applyAlignment="1">
      <alignment horizontal="center" vertical="center" wrapText="1"/>
    </xf>
    <xf numFmtId="9" fontId="14" fillId="14" borderId="1" xfId="0" applyNumberFormat="1" applyFont="1" applyFill="1" applyBorder="1" applyAlignment="1">
      <alignment horizontal="center" vertical="center" wrapText="1"/>
    </xf>
    <xf numFmtId="1" fontId="14" fillId="14" borderId="0" xfId="0" applyNumberFormat="1" applyFont="1" applyFill="1" applyAlignment="1">
      <alignment vertical="center" wrapText="1"/>
    </xf>
    <xf numFmtId="0" fontId="8" fillId="14" borderId="0" xfId="0" applyFont="1" applyFill="1" applyAlignment="1">
      <alignment vertical="center" wrapText="1"/>
    </xf>
    <xf numFmtId="166" fontId="14" fillId="14" borderId="0" xfId="4" applyFont="1" applyFill="1" applyBorder="1" applyAlignment="1">
      <alignment horizontal="center" vertical="top" wrapText="1"/>
    </xf>
    <xf numFmtId="1" fontId="13" fillId="6" borderId="0" xfId="0" applyNumberFormat="1" applyFont="1" applyFill="1" applyAlignment="1">
      <alignment horizontal="center" vertical="center"/>
    </xf>
    <xf numFmtId="166" fontId="7" fillId="0" borderId="1" xfId="1" applyFont="1" applyFill="1" applyBorder="1" applyAlignment="1">
      <alignment horizontal="center"/>
    </xf>
    <xf numFmtId="166" fontId="7" fillId="2" borderId="1" xfId="0" applyNumberFormat="1" applyFont="1" applyFill="1" applyBorder="1" applyAlignment="1">
      <alignment horizontal="center"/>
    </xf>
    <xf numFmtId="0" fontId="4" fillId="20" borderId="0" xfId="0" applyFont="1" applyFill="1"/>
    <xf numFmtId="17" fontId="4" fillId="20" borderId="0" xfId="0" applyNumberFormat="1" applyFont="1" applyFill="1"/>
    <xf numFmtId="166" fontId="6" fillId="20" borderId="1" xfId="1" applyFont="1" applyFill="1" applyBorder="1" applyAlignment="1">
      <alignment horizontal="center"/>
    </xf>
    <xf numFmtId="166" fontId="121" fillId="3" borderId="1" xfId="0" applyNumberFormat="1" applyFont="1" applyFill="1" applyBorder="1" applyAlignment="1">
      <alignment horizontal="center"/>
    </xf>
    <xf numFmtId="166" fontId="73" fillId="20" borderId="25" xfId="1" applyFont="1" applyFill="1" applyBorder="1" applyAlignment="1">
      <alignment horizontal="left" vertical="center"/>
    </xf>
    <xf numFmtId="166" fontId="74" fillId="20" borderId="36" xfId="1" applyFont="1" applyFill="1" applyBorder="1" applyAlignment="1">
      <alignment horizontal="left" vertical="center"/>
    </xf>
    <xf numFmtId="166" fontId="74" fillId="20" borderId="14" xfId="1" applyFont="1" applyFill="1" applyBorder="1"/>
    <xf numFmtId="0" fontId="75" fillId="20" borderId="37" xfId="1" applyNumberFormat="1" applyFont="1" applyFill="1" applyBorder="1" applyAlignment="1">
      <alignment horizontal="left" vertical="center"/>
    </xf>
    <xf numFmtId="0" fontId="75" fillId="20" borderId="0" xfId="1" applyNumberFormat="1" applyFont="1" applyFill="1" applyAlignment="1">
      <alignment horizontal="left" vertical="center"/>
    </xf>
    <xf numFmtId="166" fontId="74" fillId="20" borderId="38" xfId="1" applyFont="1" applyFill="1" applyBorder="1"/>
    <xf numFmtId="14" fontId="74" fillId="20" borderId="39" xfId="1" applyNumberFormat="1" applyFont="1" applyFill="1" applyBorder="1" applyAlignment="1">
      <alignment horizontal="left" vertical="center"/>
    </xf>
    <xf numFmtId="9" fontId="74" fillId="20" borderId="40" xfId="1" applyNumberFormat="1" applyFont="1" applyFill="1" applyBorder="1" applyAlignment="1">
      <alignment horizontal="left" vertical="center"/>
    </xf>
    <xf numFmtId="166" fontId="74" fillId="20" borderId="41" xfId="1" applyFont="1" applyFill="1" applyBorder="1" applyAlignment="1">
      <alignment horizontal="left"/>
    </xf>
    <xf numFmtId="17" fontId="6" fillId="20" borderId="0" xfId="1" applyNumberFormat="1" applyFont="1" applyFill="1"/>
    <xf numFmtId="166" fontId="0" fillId="2" borderId="0" xfId="0" applyNumberFormat="1" applyFill="1" applyAlignment="1">
      <alignment horizontal="center"/>
    </xf>
    <xf numFmtId="166" fontId="64" fillId="2" borderId="0" xfId="1" applyFont="1" applyFill="1" applyAlignment="1">
      <alignment horizontal="left" vertical="top" wrapText="1"/>
    </xf>
    <xf numFmtId="166" fontId="54" fillId="2" borderId="0" xfId="1" applyFont="1" applyFill="1" applyAlignment="1">
      <alignment horizontal="left" vertical="top" wrapText="1"/>
    </xf>
    <xf numFmtId="17" fontId="40" fillId="28" borderId="0" xfId="2" applyNumberFormat="1" applyFont="1" applyFill="1" applyAlignment="1">
      <alignment horizontal="center"/>
    </xf>
    <xf numFmtId="17" fontId="39" fillId="28" borderId="0" xfId="1" applyNumberFormat="1" applyFont="1" applyFill="1"/>
    <xf numFmtId="17" fontId="40" fillId="28" borderId="0" xfId="1" applyNumberFormat="1" applyFont="1" applyFill="1"/>
    <xf numFmtId="166" fontId="60" fillId="2" borderId="0" xfId="1" applyFont="1" applyFill="1" applyBorder="1" applyAlignment="1">
      <alignment horizontal="center" vertical="center"/>
    </xf>
    <xf numFmtId="166" fontId="64" fillId="4" borderId="0" xfId="1" applyFont="1" applyFill="1" applyAlignment="1">
      <alignment horizontal="left"/>
    </xf>
    <xf numFmtId="166" fontId="66" fillId="4" borderId="0" xfId="1" applyFont="1" applyFill="1"/>
    <xf numFmtId="166" fontId="54" fillId="2" borderId="0" xfId="1" applyFont="1" applyFill="1" applyAlignment="1">
      <alignment vertical="top" wrapText="1"/>
    </xf>
    <xf numFmtId="9" fontId="4" fillId="2" borderId="0" xfId="1" applyNumberFormat="1" applyFill="1" applyAlignment="1">
      <alignment horizontal="left" vertical="top"/>
    </xf>
    <xf numFmtId="14" fontId="6" fillId="2" borderId="8" xfId="1" applyNumberFormat="1" applyFont="1" applyFill="1" applyBorder="1" applyAlignment="1">
      <alignment horizontal="left" vertical="center"/>
    </xf>
    <xf numFmtId="0" fontId="16" fillId="3" borderId="2" xfId="0" applyFont="1" applyFill="1" applyBorder="1" applyAlignment="1">
      <alignment vertical="top" wrapText="1"/>
    </xf>
    <xf numFmtId="0" fontId="16" fillId="29" borderId="0" xfId="0" applyFont="1" applyFill="1" applyAlignment="1">
      <alignment vertical="center"/>
    </xf>
    <xf numFmtId="1" fontId="113" fillId="10" borderId="8" xfId="0" applyNumberFormat="1" applyFont="1" applyFill="1" applyBorder="1" applyAlignment="1">
      <alignment horizontal="center" vertical="center" wrapText="1"/>
    </xf>
    <xf numFmtId="1" fontId="14" fillId="10" borderId="8" xfId="0" applyNumberFormat="1" applyFont="1" applyFill="1" applyBorder="1" applyAlignment="1">
      <alignment horizontal="center" vertical="center" wrapText="1"/>
    </xf>
    <xf numFmtId="1" fontId="26" fillId="10" borderId="8" xfId="0" applyNumberFormat="1" applyFont="1" applyFill="1" applyBorder="1" applyAlignment="1">
      <alignment horizontal="center" vertical="center" wrapText="1"/>
    </xf>
    <xf numFmtId="17" fontId="6" fillId="30" borderId="0" xfId="1" applyNumberFormat="1" applyFont="1" applyFill="1"/>
    <xf numFmtId="0" fontId="26" fillId="0" borderId="1" xfId="3" applyFont="1" applyBorder="1" applyAlignment="1">
      <alignment horizontal="center" vertical="center" wrapText="1"/>
    </xf>
    <xf numFmtId="0" fontId="31" fillId="2" borderId="0" xfId="3" applyFont="1" applyFill="1" applyAlignment="1" applyProtection="1">
      <alignment vertical="center" wrapText="1"/>
      <protection locked="0"/>
    </xf>
    <xf numFmtId="0" fontId="31" fillId="2" borderId="0" xfId="3" applyFont="1" applyFill="1" applyAlignment="1" applyProtection="1">
      <alignment horizontal="center" vertical="center" wrapText="1"/>
      <protection locked="0"/>
    </xf>
    <xf numFmtId="166" fontId="24" fillId="2" borderId="0" xfId="4" applyFont="1" applyFill="1" applyAlignment="1">
      <alignment horizontal="center" vertical="top" wrapText="1"/>
    </xf>
    <xf numFmtId="9" fontId="31" fillId="2" borderId="0" xfId="0" applyNumberFormat="1" applyFont="1" applyFill="1" applyAlignment="1">
      <alignment horizontal="center" vertical="center" wrapText="1"/>
    </xf>
    <xf numFmtId="0" fontId="31" fillId="8" borderId="0" xfId="0" applyFont="1" applyFill="1" applyAlignment="1">
      <alignment horizontal="left" vertical="center"/>
    </xf>
    <xf numFmtId="1" fontId="31" fillId="8" borderId="0" xfId="0" applyNumberFormat="1" applyFont="1" applyFill="1" applyAlignment="1">
      <alignment horizontal="left" vertical="center"/>
    </xf>
    <xf numFmtId="168" fontId="31" fillId="8" borderId="0" xfId="0" applyNumberFormat="1" applyFont="1" applyFill="1" applyAlignment="1">
      <alignment horizontal="left" vertical="center"/>
    </xf>
    <xf numFmtId="170" fontId="31" fillId="8" borderId="0" xfId="0" applyNumberFormat="1" applyFont="1" applyFill="1" applyAlignment="1">
      <alignment horizontal="left" vertical="center"/>
    </xf>
    <xf numFmtId="0" fontId="67" fillId="16" borderId="8" xfId="0" applyFont="1" applyFill="1" applyBorder="1" applyAlignment="1">
      <alignment horizontal="right"/>
    </xf>
    <xf numFmtId="0" fontId="67" fillId="16" borderId="7" xfId="0" applyFont="1" applyFill="1" applyBorder="1" applyAlignment="1">
      <alignment horizontal="right"/>
    </xf>
    <xf numFmtId="0" fontId="61" fillId="15" borderId="1" xfId="0" applyFont="1" applyFill="1" applyBorder="1" applyAlignment="1">
      <alignment horizontal="center" vertical="center" textRotation="90"/>
    </xf>
    <xf numFmtId="0" fontId="50" fillId="0" borderId="12" xfId="0" applyFont="1" applyBorder="1" applyAlignment="1">
      <alignment horizontal="center" vertical="center"/>
    </xf>
    <xf numFmtId="0" fontId="50" fillId="0" borderId="26" xfId="0" applyFont="1" applyBorder="1" applyAlignment="1">
      <alignment horizontal="center" vertical="center"/>
    </xf>
    <xf numFmtId="0" fontId="50" fillId="0" borderId="4" xfId="0" applyFont="1" applyBorder="1" applyAlignment="1">
      <alignment horizontal="center" vertical="center"/>
    </xf>
    <xf numFmtId="0" fontId="6" fillId="0" borderId="0" xfId="0" applyFont="1" applyAlignment="1">
      <alignment horizontal="left"/>
    </xf>
    <xf numFmtId="166" fontId="9" fillId="22" borderId="0" xfId="0" applyNumberFormat="1" applyFont="1" applyFill="1" applyAlignment="1">
      <alignment horizontal="center" vertical="center"/>
    </xf>
    <xf numFmtId="0" fontId="92" fillId="3" borderId="2" xfId="0" applyFont="1" applyFill="1" applyBorder="1" applyAlignment="1">
      <alignment horizontal="left" vertical="top" wrapText="1"/>
    </xf>
    <xf numFmtId="0" fontId="92" fillId="3" borderId="0" xfId="0" applyFont="1" applyFill="1" applyAlignment="1">
      <alignment horizontal="left" vertical="top" wrapText="1"/>
    </xf>
    <xf numFmtId="0" fontId="9" fillId="6" borderId="0" xfId="0" applyFont="1" applyFill="1" applyAlignment="1">
      <alignment vertical="center" wrapText="1"/>
    </xf>
    <xf numFmtId="0" fontId="93" fillId="14" borderId="12" xfId="0" applyFont="1" applyFill="1" applyBorder="1" applyAlignment="1">
      <alignment horizontal="center" vertical="center"/>
    </xf>
    <xf numFmtId="0" fontId="93" fillId="14" borderId="26" xfId="0" applyFont="1" applyFill="1" applyBorder="1" applyAlignment="1">
      <alignment horizontal="center" vertical="center"/>
    </xf>
    <xf numFmtId="0" fontId="93" fillId="14" borderId="4" xfId="0" applyFont="1" applyFill="1" applyBorder="1" applyAlignment="1">
      <alignment horizontal="center" vertical="center"/>
    </xf>
    <xf numFmtId="0" fontId="32" fillId="2" borderId="10" xfId="0" applyFont="1" applyFill="1" applyBorder="1"/>
    <xf numFmtId="0" fontId="32" fillId="2" borderId="42" xfId="0" applyFont="1" applyFill="1" applyBorder="1"/>
    <xf numFmtId="0" fontId="32" fillId="2" borderId="11" xfId="0" applyFont="1" applyFill="1" applyBorder="1"/>
    <xf numFmtId="164" fontId="93" fillId="14" borderId="0" xfId="0" applyNumberFormat="1" applyFont="1" applyFill="1" applyAlignment="1">
      <alignment horizontal="center" vertical="center"/>
    </xf>
    <xf numFmtId="1" fontId="87" fillId="3" borderId="0" xfId="0" applyNumberFormat="1" applyFont="1" applyFill="1" applyAlignment="1">
      <alignment horizontal="center" vertical="center" wrapText="1"/>
    </xf>
    <xf numFmtId="2" fontId="87" fillId="3" borderId="0" xfId="0" applyNumberFormat="1" applyFont="1" applyFill="1" applyAlignment="1">
      <alignment horizontal="center" vertical="center" wrapText="1"/>
    </xf>
    <xf numFmtId="0" fontId="77" fillId="3" borderId="2" xfId="0" applyFont="1" applyFill="1" applyBorder="1" applyAlignment="1">
      <alignment vertical="center" wrapText="1"/>
    </xf>
    <xf numFmtId="0" fontId="77" fillId="3" borderId="0" xfId="0" applyFont="1" applyFill="1" applyAlignment="1">
      <alignment vertical="center" wrapText="1"/>
    </xf>
    <xf numFmtId="0" fontId="9" fillId="3" borderId="0" xfId="0" applyFont="1" applyFill="1" applyAlignment="1">
      <alignment horizontal="center" vertical="center" wrapText="1"/>
    </xf>
    <xf numFmtId="0" fontId="8" fillId="3" borderId="2" xfId="0" applyFont="1" applyFill="1" applyBorder="1" applyAlignment="1">
      <alignment vertical="center" wrapText="1"/>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82" fillId="8" borderId="0" xfId="0" applyFont="1" applyFill="1" applyAlignment="1">
      <alignment horizontal="left" vertical="center"/>
    </xf>
    <xf numFmtId="1" fontId="82" fillId="8" borderId="0" xfId="0" applyNumberFormat="1" applyFont="1" applyFill="1" applyAlignment="1">
      <alignment horizontal="left" vertical="center"/>
    </xf>
    <xf numFmtId="170" fontId="82" fillId="8" borderId="0" xfId="0" applyNumberFormat="1" applyFont="1" applyFill="1" applyAlignment="1">
      <alignment horizontal="left" vertical="center"/>
    </xf>
    <xf numFmtId="0" fontId="8" fillId="3" borderId="2" xfId="0" applyFont="1" applyFill="1" applyBorder="1" applyAlignment="1">
      <alignment vertical="top" wrapText="1"/>
    </xf>
    <xf numFmtId="0" fontId="77" fillId="3" borderId="0" xfId="0" applyFont="1" applyFill="1" applyAlignment="1">
      <alignment vertical="top" wrapText="1"/>
    </xf>
    <xf numFmtId="0" fontId="77" fillId="14" borderId="2" xfId="0" applyFont="1" applyFill="1" applyBorder="1" applyAlignment="1">
      <alignment vertical="center" wrapText="1"/>
    </xf>
    <xf numFmtId="0" fontId="77" fillId="14" borderId="0" xfId="0" applyFont="1" applyFill="1" applyAlignment="1">
      <alignment vertical="center" wrapText="1"/>
    </xf>
    <xf numFmtId="0" fontId="8" fillId="3" borderId="2" xfId="0" applyFont="1" applyFill="1" applyBorder="1" applyAlignment="1">
      <alignment horizontal="left" vertical="center" wrapText="1"/>
    </xf>
    <xf numFmtId="0" fontId="8" fillId="3" borderId="0" xfId="0" applyFont="1" applyFill="1" applyAlignment="1">
      <alignment horizontal="left" vertical="center" wrapText="1"/>
    </xf>
    <xf numFmtId="0" fontId="50" fillId="21" borderId="2" xfId="0" applyFont="1" applyFill="1" applyBorder="1" applyAlignment="1">
      <alignment vertical="center" wrapText="1"/>
    </xf>
    <xf numFmtId="0" fontId="50" fillId="21" borderId="0" xfId="0" applyFont="1" applyFill="1" applyAlignment="1">
      <alignment vertical="center" wrapText="1"/>
    </xf>
    <xf numFmtId="0" fontId="79" fillId="7" borderId="0" xfId="0" applyFont="1" applyFill="1" applyAlignment="1">
      <alignment horizontal="left"/>
    </xf>
    <xf numFmtId="0" fontId="8" fillId="2" borderId="0" xfId="0" applyFont="1" applyFill="1" applyAlignment="1">
      <alignment horizontal="center" vertical="center"/>
    </xf>
    <xf numFmtId="0" fontId="77" fillId="2" borderId="0" xfId="0" applyFont="1" applyFill="1" applyAlignment="1">
      <alignment horizontal="center" vertical="center"/>
    </xf>
    <xf numFmtId="0" fontId="26" fillId="7" borderId="0" xfId="0" applyFont="1" applyFill="1"/>
    <xf numFmtId="0" fontId="83" fillId="6" borderId="0" xfId="0" applyFont="1" applyFill="1" applyAlignment="1">
      <alignment vertical="center" wrapText="1"/>
    </xf>
    <xf numFmtId="0" fontId="50" fillId="3" borderId="2" xfId="0" applyFont="1" applyFill="1" applyBorder="1" applyAlignment="1">
      <alignment horizontal="left" vertical="top" wrapText="1"/>
    </xf>
    <xf numFmtId="0" fontId="50" fillId="3" borderId="0" xfId="0" applyFont="1" applyFill="1" applyAlignment="1">
      <alignment horizontal="left" vertical="top" wrapText="1"/>
    </xf>
    <xf numFmtId="0" fontId="26" fillId="3" borderId="2" xfId="0" applyFont="1" applyFill="1" applyBorder="1" applyAlignment="1">
      <alignment vertical="top" wrapText="1"/>
    </xf>
    <xf numFmtId="0" fontId="26" fillId="3" borderId="0" xfId="0" applyFont="1" applyFill="1" applyAlignment="1">
      <alignment vertical="top" wrapText="1"/>
    </xf>
    <xf numFmtId="0" fontId="26" fillId="3" borderId="2" xfId="0" applyFont="1" applyFill="1" applyBorder="1" applyAlignment="1">
      <alignment horizontal="left" vertical="top" wrapText="1"/>
    </xf>
    <xf numFmtId="0" fontId="26" fillId="3" borderId="0" xfId="0" applyFont="1" applyFill="1" applyAlignment="1">
      <alignment horizontal="left" vertical="top" wrapText="1"/>
    </xf>
    <xf numFmtId="0" fontId="26" fillId="7" borderId="0" xfId="0" applyFont="1" applyFill="1" applyAlignment="1">
      <alignment horizontal="left"/>
    </xf>
    <xf numFmtId="0" fontId="26" fillId="3" borderId="0" xfId="0" applyFont="1" applyFill="1" applyAlignment="1">
      <alignment horizontal="center" vertical="center" wrapText="1"/>
    </xf>
    <xf numFmtId="0" fontId="77" fillId="3" borderId="2" xfId="0" applyFont="1" applyFill="1" applyBorder="1" applyAlignment="1">
      <alignment vertical="top" wrapText="1"/>
    </xf>
    <xf numFmtId="0" fontId="26" fillId="3" borderId="2" xfId="0" applyFont="1" applyFill="1" applyBorder="1" applyAlignment="1">
      <alignment vertical="center" wrapText="1"/>
    </xf>
    <xf numFmtId="0" fontId="26" fillId="3" borderId="0" xfId="0" applyFont="1" applyFill="1" applyAlignment="1">
      <alignment vertical="center" wrapText="1"/>
    </xf>
    <xf numFmtId="0" fontId="8" fillId="20" borderId="2" xfId="0" applyFont="1" applyFill="1" applyBorder="1" applyAlignment="1">
      <alignment horizontal="left" vertical="center" wrapText="1"/>
    </xf>
    <xf numFmtId="0" fontId="8" fillId="20" borderId="0" xfId="0" applyFont="1" applyFill="1" applyAlignment="1">
      <alignment horizontal="left" vertical="center" wrapText="1"/>
    </xf>
    <xf numFmtId="0" fontId="26" fillId="20" borderId="2" xfId="0" applyFont="1" applyFill="1" applyBorder="1" applyAlignment="1">
      <alignment vertical="center" wrapText="1"/>
    </xf>
    <xf numFmtId="0" fontId="26" fillId="20" borderId="0" xfId="0" applyFont="1" applyFill="1" applyAlignment="1">
      <alignment vertical="center" wrapText="1"/>
    </xf>
    <xf numFmtId="0" fontId="8" fillId="20" borderId="2" xfId="0" applyFont="1" applyFill="1" applyBorder="1" applyAlignment="1">
      <alignment vertical="center" wrapText="1"/>
    </xf>
    <xf numFmtId="0" fontId="77" fillId="20" borderId="0" xfId="0" applyFont="1" applyFill="1" applyAlignment="1">
      <alignment vertical="center" wrapText="1"/>
    </xf>
    <xf numFmtId="0" fontId="16" fillId="3" borderId="2" xfId="0" applyFont="1" applyFill="1" applyBorder="1" applyAlignment="1">
      <alignment horizontal="left" vertical="top" wrapText="1"/>
    </xf>
    <xf numFmtId="0" fontId="16" fillId="3" borderId="0" xfId="0" applyFont="1" applyFill="1" applyAlignment="1">
      <alignment horizontal="left" vertical="top" wrapText="1"/>
    </xf>
    <xf numFmtId="0" fontId="10" fillId="8" borderId="0" xfId="0" applyFont="1" applyFill="1" applyAlignment="1">
      <alignment horizontal="center" vertical="center" wrapText="1"/>
    </xf>
    <xf numFmtId="166" fontId="32" fillId="2" borderId="0" xfId="4" applyFont="1" applyFill="1" applyBorder="1" applyAlignment="1">
      <alignment horizontal="left"/>
    </xf>
    <xf numFmtId="0" fontId="12" fillId="14" borderId="12" xfId="0" applyFont="1" applyFill="1" applyBorder="1" applyAlignment="1">
      <alignment horizontal="center"/>
    </xf>
    <xf numFmtId="0" fontId="12" fillId="14" borderId="4" xfId="0" applyFont="1" applyFill="1" applyBorder="1" applyAlignment="1">
      <alignment horizontal="center"/>
    </xf>
    <xf numFmtId="168" fontId="12" fillId="2" borderId="0" xfId="0" applyNumberFormat="1" applyFont="1" applyFill="1"/>
    <xf numFmtId="168" fontId="97" fillId="2" borderId="0" xfId="0" applyNumberFormat="1" applyFont="1" applyFill="1"/>
    <xf numFmtId="166" fontId="48" fillId="9" borderId="12" xfId="4" applyFont="1" applyFill="1" applyBorder="1" applyAlignment="1">
      <alignment horizontal="center"/>
    </xf>
    <xf numFmtId="166" fontId="48" fillId="9" borderId="4" xfId="4" applyFont="1" applyFill="1" applyBorder="1" applyAlignment="1">
      <alignment horizontal="center"/>
    </xf>
    <xf numFmtId="0" fontId="37" fillId="3" borderId="0" xfId="0" applyFont="1" applyFill="1" applyAlignment="1">
      <alignment horizontal="center" vertical="top"/>
    </xf>
    <xf numFmtId="0" fontId="28" fillId="2" borderId="0" xfId="0" applyFont="1" applyFill="1" applyAlignment="1">
      <alignment horizontal="center"/>
    </xf>
    <xf numFmtId="0" fontId="10" fillId="8" borderId="0" xfId="0" applyFont="1" applyFill="1" applyAlignment="1">
      <alignment horizontal="left" vertical="center" wrapText="1"/>
    </xf>
    <xf numFmtId="1" fontId="10" fillId="8" borderId="0" xfId="0" applyNumberFormat="1" applyFont="1" applyFill="1" applyAlignment="1">
      <alignment horizontal="left" vertical="center"/>
    </xf>
    <xf numFmtId="14" fontId="10" fillId="8" borderId="0" xfId="0" applyNumberFormat="1" applyFont="1" applyFill="1" applyAlignment="1">
      <alignment horizontal="left" vertical="center"/>
    </xf>
    <xf numFmtId="166" fontId="28" fillId="2" borderId="0" xfId="4" applyFont="1" applyFill="1" applyBorder="1"/>
    <xf numFmtId="168" fontId="28" fillId="2" borderId="0" xfId="0" applyNumberFormat="1" applyFont="1" applyFill="1"/>
    <xf numFmtId="0" fontId="28" fillId="2" borderId="0" xfId="0" applyFont="1" applyFill="1"/>
    <xf numFmtId="0" fontId="32" fillId="8" borderId="0" xfId="0" applyFont="1" applyFill="1" applyAlignment="1">
      <alignment horizontal="left" vertical="top" wrapText="1"/>
    </xf>
    <xf numFmtId="166" fontId="48" fillId="9" borderId="25" xfId="4" applyFont="1" applyFill="1" applyBorder="1" applyAlignment="1">
      <alignment horizontal="center"/>
    </xf>
    <xf numFmtId="166" fontId="48" fillId="9" borderId="14" xfId="4" applyFont="1" applyFill="1" applyBorder="1" applyAlignment="1">
      <alignment horizontal="center"/>
    </xf>
    <xf numFmtId="0" fontId="37" fillId="3" borderId="0" xfId="0" applyFont="1" applyFill="1" applyAlignment="1">
      <alignment horizontal="left" vertical="top"/>
    </xf>
    <xf numFmtId="0" fontId="37" fillId="3" borderId="0" xfId="0" applyFont="1" applyFill="1" applyAlignment="1">
      <alignment horizontal="center" vertical="center"/>
    </xf>
    <xf numFmtId="0" fontId="31" fillId="8" borderId="0" xfId="0" applyFont="1" applyFill="1" applyAlignment="1">
      <alignment horizontal="left" vertical="center" wrapText="1"/>
    </xf>
    <xf numFmtId="170" fontId="10" fillId="8" borderId="0" xfId="0" applyNumberFormat="1" applyFont="1" applyFill="1" applyAlignment="1">
      <alignment horizontal="left" vertical="center"/>
    </xf>
    <xf numFmtId="0" fontId="108" fillId="3" borderId="2" xfId="0" applyFont="1" applyFill="1" applyBorder="1" applyAlignment="1">
      <alignment horizontal="left" vertical="top" wrapText="1"/>
    </xf>
    <xf numFmtId="0" fontId="108" fillId="3" borderId="0" xfId="0" applyFont="1" applyFill="1" applyAlignment="1">
      <alignment horizontal="left" vertical="top" wrapText="1"/>
    </xf>
    <xf numFmtId="170" fontId="31" fillId="8" borderId="0" xfId="3" applyNumberFormat="1" applyFont="1" applyFill="1" applyAlignment="1">
      <alignment horizontal="left" vertical="center"/>
    </xf>
    <xf numFmtId="0" fontId="37" fillId="3" borderId="0" xfId="3" applyFont="1" applyFill="1" applyAlignment="1">
      <alignment horizontal="center" vertical="top"/>
    </xf>
    <xf numFmtId="0" fontId="31" fillId="8" borderId="0" xfId="3" applyFont="1" applyFill="1" applyAlignment="1">
      <alignment horizontal="left" vertical="center"/>
    </xf>
    <xf numFmtId="166" fontId="9" fillId="0" borderId="0" xfId="0" applyNumberFormat="1" applyFont="1" applyAlignment="1">
      <alignment horizontal="center" vertical="center"/>
    </xf>
    <xf numFmtId="0" fontId="8" fillId="3" borderId="0" xfId="0" applyFont="1" applyFill="1" applyAlignment="1">
      <alignment vertical="top" wrapText="1"/>
    </xf>
    <xf numFmtId="0" fontId="8" fillId="3" borderId="0" xfId="0" applyFont="1" applyFill="1" applyAlignment="1">
      <alignment vertical="center" wrapText="1"/>
    </xf>
    <xf numFmtId="167" fontId="119" fillId="14" borderId="2" xfId="3" applyNumberFormat="1" applyFont="1" applyFill="1" applyBorder="1" applyAlignment="1">
      <alignment horizontal="center" vertical="center"/>
    </xf>
    <xf numFmtId="167" fontId="119" fillId="14" borderId="0" xfId="3" applyNumberFormat="1" applyFont="1" applyFill="1" applyAlignment="1">
      <alignment horizontal="center" vertical="center"/>
    </xf>
    <xf numFmtId="0" fontId="16" fillId="0" borderId="0" xfId="0" applyFont="1" applyAlignment="1">
      <alignment horizontal="left" vertical="center"/>
    </xf>
    <xf numFmtId="0" fontId="8" fillId="0" borderId="0" xfId="0" applyFont="1" applyAlignment="1">
      <alignment horizontal="left" vertical="center"/>
    </xf>
    <xf numFmtId="0" fontId="8" fillId="14" borderId="2" xfId="0" applyFont="1" applyFill="1" applyBorder="1" applyAlignment="1">
      <alignment horizontal="left" vertical="center" wrapText="1"/>
    </xf>
    <xf numFmtId="0" fontId="8" fillId="14" borderId="0" xfId="0" applyFont="1" applyFill="1" applyAlignment="1">
      <alignment horizontal="left" vertical="center" wrapText="1"/>
    </xf>
    <xf numFmtId="0" fontId="16" fillId="14" borderId="0" xfId="0" applyFont="1" applyFill="1" applyAlignment="1">
      <alignment horizontal="left" vertical="center"/>
    </xf>
    <xf numFmtId="0" fontId="8" fillId="23" borderId="0" xfId="0" applyFont="1" applyFill="1" applyAlignment="1">
      <alignment horizontal="left" vertical="center"/>
    </xf>
    <xf numFmtId="168" fontId="32" fillId="8" borderId="0" xfId="0" applyNumberFormat="1" applyFont="1" applyFill="1" applyAlignment="1">
      <alignment horizontal="left" vertical="center"/>
    </xf>
    <xf numFmtId="166" fontId="4" fillId="2" borderId="0" xfId="1" applyFont="1" applyFill="1" applyAlignment="1">
      <alignment horizontal="center"/>
    </xf>
    <xf numFmtId="166" fontId="5" fillId="2" borderId="0" xfId="1" applyFont="1" applyFill="1" applyAlignment="1">
      <alignment horizontal="center"/>
    </xf>
    <xf numFmtId="166" fontId="6" fillId="20" borderId="8" xfId="1" applyFont="1" applyFill="1" applyBorder="1" applyAlignment="1">
      <alignment horizontal="left" vertical="center"/>
    </xf>
    <xf numFmtId="166" fontId="6" fillId="20" borderId="35" xfId="1" applyFont="1" applyFill="1" applyBorder="1" applyAlignment="1">
      <alignment horizontal="left" vertical="center"/>
    </xf>
    <xf numFmtId="166" fontId="6" fillId="20" borderId="7" xfId="1" applyFont="1" applyFill="1" applyBorder="1" applyAlignment="1">
      <alignment horizontal="left" vertical="center"/>
    </xf>
    <xf numFmtId="170" fontId="6" fillId="0" borderId="0" xfId="1" applyNumberFormat="1" applyFont="1" applyFill="1" applyAlignment="1">
      <alignment horizontal="center"/>
    </xf>
    <xf numFmtId="166" fontId="5" fillId="2" borderId="0" xfId="1" applyFont="1" applyFill="1" applyAlignment="1">
      <alignment horizontal="center" vertical="top" wrapText="1"/>
    </xf>
  </cellXfs>
  <cellStyles count="6">
    <cellStyle name="Currency" xfId="1" builtinId="4"/>
    <cellStyle name="Currency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1935">
    <dxf>
      <font>
        <color theme="0"/>
      </font>
      <fill>
        <patternFill>
          <bgColor theme="8" tint="-0.24994659260841701"/>
        </patternFill>
      </fill>
    </dxf>
    <dxf>
      <font>
        <color theme="0"/>
      </font>
      <fill>
        <patternFill>
          <bgColor theme="8" tint="-0.24994659260841701"/>
        </patternFill>
      </fill>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i val="0"/>
        <color theme="8" tint="-0.499984740745262"/>
      </font>
      <fill>
        <patternFill>
          <bgColor theme="8" tint="0.59996337778862885"/>
        </patternFill>
      </fill>
      <border>
        <vertical/>
        <horizontal/>
      </border>
    </dxf>
    <dxf>
      <numFmt numFmtId="178" formatCode="_-[$$-409]* #,##0.00_ ;_-[$$-409]* \-#,##0.00\ ;_-[$$-409]* &quot;-&quot;??_ ;_-@_ "/>
    </dxf>
    <dxf>
      <numFmt numFmtId="179" formatCode="_-[$€-2]\ * #,##0.00_-;\-[$€-2]\ * #,##0.00_-;_-[$€-2]\ * &quot;-&quot;??_-;_-@_-"/>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8" formatCode="_-[$$-409]* #,##0.00_ ;_-[$$-409]* \-#,##0.00\ ;_-[$$-409]* &quot;-&quot;??_ ;_-@_ "/>
    </dxf>
    <dxf>
      <numFmt numFmtId="179" formatCode="_-[$€-2]\ * #,##0.00_-;\-[$€-2]\ * #,##0.00_-;_-[$€-2]\ * &quot;-&quot;??_-;_-@_-"/>
    </dxf>
    <dxf>
      <numFmt numFmtId="180" formatCode="_-* #,##0.00\ [$Kč-405]_-;\-* #,##0.00\ [$Kč-405]_-;_-* &quot;-&quot;??\ [$Kč-405]_-;_-@_-"/>
    </dxf>
    <dxf>
      <numFmt numFmtId="177" formatCode="_-* #,##0.00\ [$zł-415]_-;\-* #,##0.00\ [$zł-415]_-;_-* &quot;-&quot;??\ [$zł-415]_-;_-@_-"/>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numFmt numFmtId="178" formatCode="_-[$$-409]* #,##0.00_ ;_-[$$-409]* \-#,##0.00\ ;_-[$$-409]* &quot;-&quot;??_ ;_-@_ "/>
    </dxf>
    <dxf>
      <numFmt numFmtId="179" formatCode="_-[$€-2]\ * #,##0.00_-;\-[$€-2]\ * #,##0.00_-;_-[$€-2]\ * &quot;-&quot;??_-;_-@_-"/>
    </dxf>
    <dxf>
      <numFmt numFmtId="177" formatCode="_-* #,##0.00\ [$zł-415]_-;\-* #,##0.00\ [$zł-415]_-;_-* &quot;-&quot;??\ [$zł-415]_-;_-@_-"/>
    </dxf>
    <dxf>
      <numFmt numFmtId="180" formatCode="_-* #,##0.00\ [$Kč-405]_-;\-* #,##0.00\ [$Kč-405]_-;_-* &quot;-&quot;??\ [$Kč-40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79" formatCode="_-[$€-2]\ * #,##0.00_-;\-[$€-2]\ * #,##0.00_-;_-[$€-2]\ * &quot;-&quot;??_-;_-@_-"/>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79"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numFmt numFmtId="179" formatCode="_-[$€-2]\ * #,##0.00_-;\-[$€-2]\ * #,##0.00_-;_-[$€-2]\ * &quot;-&quot;??_-;_-@_-"/>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font>
        <color rgb="FFC00000"/>
      </font>
      <fill>
        <patternFill>
          <bgColor theme="0" tint="-4.9989318521683403E-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left/>
        <right/>
        <vertical/>
        <horizontal/>
      </border>
    </dxf>
    <dxf>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9C0006"/>
      </font>
      <fill>
        <patternFill>
          <bgColor theme="0"/>
        </patternFill>
      </fill>
    </dxf>
    <dxf>
      <font>
        <b/>
        <i val="0"/>
        <color theme="8" tint="-0.499984740745262"/>
      </font>
      <fill>
        <patternFill>
          <bgColor theme="8" tint="0.39994506668294322"/>
        </patternFill>
      </fill>
    </dxf>
    <dxf>
      <fill>
        <patternFill>
          <bgColor theme="8" tint="0.59996337778862885"/>
        </patternFill>
      </fill>
      <border>
        <left style="thin">
          <color auto="1"/>
        </left>
        <right style="thin">
          <color auto="1"/>
        </right>
        <bottom style="thin">
          <color auto="1"/>
        </bottom>
        <vertical/>
        <horizontal/>
      </border>
    </dxf>
    <dxf>
      <border>
        <left/>
        <vertical/>
        <horizontal/>
      </border>
    </dxf>
    <dxf>
      <font>
        <color rgb="FFC00000"/>
      </font>
      <fill>
        <patternFill>
          <bgColor theme="0"/>
        </patternFill>
      </fill>
    </dxf>
    <dxf>
      <font>
        <color rgb="FFC00000"/>
      </font>
      <fill>
        <patternFill>
          <bgColor theme="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79998168889431442"/>
      </font>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i val="0"/>
        <color theme="8" tint="-0.499984740745262"/>
      </font>
      <fill>
        <patternFill>
          <bgColor theme="8" tint="0.59996337778862885"/>
        </patternFill>
      </fill>
      <border>
        <vertical/>
        <horizontal/>
      </border>
    </dxf>
    <dxf>
      <numFmt numFmtId="178" formatCode="_-[$$-409]* #,##0.00_ ;_-[$$-409]* \-#,##0.00\ ;_-[$$-409]* &quot;-&quot;??_ ;_-@_ "/>
    </dxf>
    <dxf>
      <numFmt numFmtId="179" formatCode="_-[$€-2]\ * #,##0.00_-;\-[$€-2]\ * #,##0.00_-;_-[$€-2]\ * &quot;-&quot;??_-;_-@_-"/>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val="0"/>
        <i val="0"/>
        <color rgb="FFC00000"/>
      </font>
      <fill>
        <patternFill patternType="none">
          <bgColor auto="1"/>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theme="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auto="1"/>
      </font>
      <fill>
        <patternFill>
          <bgColor theme="8"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numFmt numFmtId="178" formatCode="_-[$$-409]* #,##0.00_ ;_-[$$-409]* \-#,##0.00\ ;_-[$$-409]* &quot;-&quot;??_ ;_-@_ "/>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78" formatCode="_-[$$-409]* #,##0.00_ ;_-[$$-409]* \-#,##0.00\ ;_-[$$-409]* &quot;-&quot;??_ ;_-@_ "/>
    </dxf>
    <dxf>
      <numFmt numFmtId="180" formatCode="_-* #,##0.00\ [$Kč-405]_-;\-* #,##0.00\ [$Kč-405]_-;_-* &quot;-&quot;??\ [$Kč-405]_-;_-@_-"/>
    </dxf>
    <dxf>
      <numFmt numFmtId="177" formatCode="_-* #,##0.00\ [$zł-415]_-;\-* #,##0.00\ [$zł-415]_-;_-* &quot;-&quot;??\ [$zł-415]_-;_-@_-"/>
    </dxf>
    <dxf>
      <numFmt numFmtId="179"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ont>
        <color theme="0"/>
      </font>
      <fill>
        <patternFill>
          <bgColor theme="8" tint="-0.499984740745262"/>
        </patternFill>
      </fill>
    </dxf>
    <dxf>
      <font>
        <b/>
        <i val="0"/>
        <color rgb="FFC00000"/>
      </font>
      <fill>
        <patternFill>
          <bgColor theme="5" tint="0.79998168889431442"/>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numFmt numFmtId="180" formatCode="_-* #,##0.00\ [$Kč-405]_-;\-* #,##0.00\ [$Kč-405]_-;_-* &quot;-&quot;??\ [$Kč-405]_-;_-@_-"/>
    </dxf>
    <dxf>
      <numFmt numFmtId="178" formatCode="_-[$$-409]* #,##0.00_ ;_-[$$-409]* \-#,##0.00\ ;_-[$$-409]* &quot;-&quot;??_ ;_-@_ "/>
    </dxf>
    <dxf>
      <numFmt numFmtId="177" formatCode="_-* #,##0.00\ [$zł-415]_-;\-* #,##0.00\ [$zł-415]_-;_-* &quot;-&quot;??\ [$zł-415]_-;_-@_-"/>
    </dxf>
    <dxf>
      <numFmt numFmtId="179" formatCode="_-[$€-2]\ * #,##0.00_-;\-[$€-2]\ * #,##0.00_-;_-[$€-2]\ * &quot;-&quot;??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numFmt numFmtId="180" formatCode="_-* #,##0.00\ [$Kč-405]_-;\-* #,##0.00\ [$Kč-405]_-;_-* &quot;-&quot;??\ [$Kč-405]_-;_-@_-"/>
    </dxf>
    <dxf>
      <numFmt numFmtId="178" formatCode="_-[$$-409]* #,##0.00_ ;_-[$$-409]* \-#,##0.00\ ;_-[$$-409]* &quot;-&quot;??_ ;_-@_ "/>
    </dxf>
    <dxf>
      <numFmt numFmtId="177" formatCode="_-* #,##0.00\ [$zł-415]_-;\-* #,##0.00\ [$zł-415]_-;_-* &quot;-&quot;??\ [$zł-415]_-;_-@_-"/>
    </dxf>
    <dxf>
      <numFmt numFmtId="179" formatCode="_-[$€-2]\ * #,##0.00_-;\-[$€-2]\ * #,##0.00_-;_-[$€-2]\ * &quot;-&quot;??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val="0"/>
        <i val="0"/>
        <color theme="0"/>
      </font>
      <fill>
        <patternFill>
          <bgColor theme="8" tint="-0.499984740745262"/>
        </patternFill>
      </fill>
    </dxf>
    <dxf>
      <font>
        <b val="0"/>
        <i val="0"/>
        <color rgb="FFC00000"/>
      </font>
      <fill>
        <patternFill>
          <bgColor theme="5" tint="0.7999816888943144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b/>
        <i val="0"/>
        <color auto="1"/>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80" formatCode="_-* #,##0.00\ [$Kč-405]_-;\-* #,##0.00\ [$Kč-405]_-;_-* &quot;-&quot;??\ [$Kč-405]_-;_-@_-"/>
    </dxf>
    <dxf>
      <numFmt numFmtId="177" formatCode="_-* #,##0.00\ [$zł-415]_-;\-* #,##0.00\ [$zł-415]_-;_-* &quot;-&quot;??\ [$zł-41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80" formatCode="_-* #,##0.00\ [$Kč-405]_-;\-* #,##0.00\ [$Kč-405]_-;_-* &quot;-&quot;??\ [$Kč-405]_-;_-@_-"/>
    </dxf>
    <dxf>
      <numFmt numFmtId="178" formatCode="_-[$$-409]* #,##0.00_ ;_-[$$-409]* \-#,##0.00\ ;_-[$$-409]* &quot;-&quot;??_ ;_-@_ "/>
    </dxf>
    <dxf>
      <numFmt numFmtId="179" formatCode="_-[$€-2]\ * #,##0.00_-;\-[$€-2]\ * #,##0.00_-;_-[$€-2]\ * &quot;-&quot;??_-;_-@_-"/>
    </dxf>
    <dxf>
      <numFmt numFmtId="177" formatCode="_-* #,##0.00\ [$zł-415]_-;\-* #,##0.00\ [$zł-415]_-;_-* &quot;-&quot;??\ [$zł-415]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numFmt numFmtId="179" formatCode="_-[$€-2]\ * #,##0.00_-;\-[$€-2]\ * #,##0.00_-;_-[$€-2]\ * &quot;-&quot;??_-;_-@_-"/>
    </dxf>
    <dxf>
      <numFmt numFmtId="177" formatCode="_-* #,##0.00\ [$zł-415]_-;\-* #,##0.00\ [$zł-415]_-;_-* &quot;-&quot;??\ [$zł-415]_-;_-@_-"/>
    </dxf>
    <dxf>
      <numFmt numFmtId="180" formatCode="_-* #,##0.00\ [$Kč-405]_-;\-* #,##0.00\ [$Kč-405]_-;_-* &quot;-&quot;??\ [$Kč-405]_-;_-@_-"/>
    </dxf>
    <dxf>
      <font>
        <color theme="8" tint="-0.499984740745262"/>
      </font>
      <fill>
        <patternFill>
          <bgColor theme="8" tint="0.59996337778862885"/>
        </patternFill>
      </fill>
    </dxf>
    <dxf>
      <numFmt numFmtId="178" formatCode="_-[$$-409]* #,##0.00_ ;_-[$$-409]* \-#,##0.00\ ;_-[$$-409]* &quot;-&quot;??_ ;_-@_ "/>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80" formatCode="_-* #,##0.00\ [$Kč-405]_-;\-* #,##0.00\ [$Kč-405]_-;_-* &quot;-&quot;??\ [$Kč-405]_-;_-@_-"/>
    </dxf>
    <dxf>
      <numFmt numFmtId="178" formatCode="_-[$$-409]* #,##0.00_ ;_-[$$-409]* \-#,##0.00\ ;_-[$$-409]* &quot;-&quot;??_ ;_-@_ "/>
    </dxf>
    <dxf>
      <numFmt numFmtId="179" formatCode="_-[$€-2]\ * #,##0.00_-;\-[$€-2]\ * #,##0.00_-;_-[$€-2]\ * &quot;-&quot;??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numFmt numFmtId="179" formatCode="_-[$€-2]\ * #,##0.00_-;\-[$€-2]\ * #,##0.00_-;_-[$€-2]\ * &quot;-&quot;??_-;_-@_-"/>
    </dxf>
    <dxf>
      <numFmt numFmtId="177" formatCode="_-* #,##0.00\ [$zł-415]_-;\-* #,##0.00\ [$zł-415]_-;_-* &quot;-&quot;??\ [$zł-415]_-;_-@_-"/>
    </dxf>
    <dxf>
      <numFmt numFmtId="180" formatCode="_-* #,##0.00\ [$Kč-405]_-;\-* #,##0.00\ [$Kč-405]_-;_-* &quot;-&quot;??\ [$Kč-405]_-;_-@_-"/>
    </dxf>
    <dxf>
      <numFmt numFmtId="178" formatCode="_-[$$-409]* #,##0.00_ ;_-[$$-409]* \-#,##0.00\ ;_-[$$-409]* &quot;-&quot;??_ ;_-@_ "/>
    </dxf>
    <dxf>
      <font>
        <color theme="8" tint="-0.499984740745262"/>
      </font>
      <fill>
        <patternFill>
          <bgColor theme="8" tint="0.59996337778862885"/>
        </patternFill>
      </fill>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font>
        <color theme="8" tint="-0.499984740745262"/>
      </font>
      <fill>
        <patternFill>
          <bgColor theme="8" tint="0.59996337778862885"/>
        </patternFill>
      </fill>
    </dxf>
    <dxf>
      <numFmt numFmtId="180" formatCode="_-* #,##0.00\ [$Kč-405]_-;\-* #,##0.00\ [$Kč-405]_-;_-* &quot;-&quot;??\ [$Kč-405]_-;_-@_-"/>
    </dxf>
    <dxf>
      <numFmt numFmtId="178" formatCode="_-[$$-409]* #,##0.00_ ;_-[$$-409]* \-#,##0.00\ ;_-[$$-409]* &quot;-&quot;??_ ;_-@_ "/>
    </dxf>
    <dxf>
      <numFmt numFmtId="179" formatCode="_-[$€-2]\ * #,##0.00_-;\-[$€-2]\ * #,##0.00_-;_-[$€-2]\ * &quot;-&quot;??_-;_-@_-"/>
    </dxf>
    <dxf>
      <numFmt numFmtId="177" formatCode="_-* #,##0.00\ [$zł-415]_-;\-* #,##0.00\ [$zł-415]_-;_-* &quot;-&quot;??\ [$zł-415]_-;_-@_-"/>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rgb="FF9C0006"/>
      </font>
      <fill>
        <patternFill>
          <bgColor rgb="FFFFC7CE"/>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theme="0"/>
      </font>
      <fill>
        <patternFill>
          <bgColor rgb="FFFF0000"/>
        </patternFill>
      </fill>
    </dxf>
    <dxf>
      <font>
        <color rgb="FF9C0006"/>
      </font>
      <fill>
        <patternFill>
          <bgColor rgb="FFFFC7CE"/>
        </patternFill>
      </fill>
    </dxf>
    <dxf>
      <font>
        <color theme="0"/>
      </font>
      <fill>
        <patternFill>
          <bgColor theme="8" tint="-0.24994659260841701"/>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font>
        <b/>
        <i val="0"/>
        <color theme="8" tint="-0.499984740745262"/>
      </font>
      <fill>
        <patternFill>
          <bgColor theme="8" tint="0.59996337778862885"/>
        </patternFill>
      </fill>
      <border>
        <vertical/>
        <horizontal/>
      </border>
    </dxf>
    <dxf>
      <numFmt numFmtId="180" formatCode="_-* #,##0.00\ [$Kč-405]_-;\-* #,##0.00\ [$Kč-405]_-;_-* &quot;-&quot;??\ [$Kč-405]_-;_-@_-"/>
    </dxf>
    <dxf>
      <numFmt numFmtId="178" formatCode="_-[$$-409]* #,##0.00_ ;_-[$$-409]* \-#,##0.00\ ;_-[$$-409]* &quot;-&quot;??_ ;_-@_ "/>
    </dxf>
    <dxf>
      <numFmt numFmtId="179" formatCode="_-[$€-2]\ * #,##0.00_-;\-[$€-2]\ * #,##0.00_-;_-[$€-2]\ * &quot;-&quot;??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80" formatCode="_-* #,##0.00\ [$Kč-405]_-;\-* #,##0.00\ [$Kč-405]_-;_-* &quot;-&quot;??\ [$Kč-405]_-;_-@_-"/>
    </dxf>
    <dxf>
      <numFmt numFmtId="178" formatCode="_-[$$-409]* #,##0.00_ ;_-[$$-409]* \-#,##0.00\ ;_-[$$-409]* &quot;-&quot;??_ ;_-@_ "/>
    </dxf>
    <dxf>
      <numFmt numFmtId="177" formatCode="_-* #,##0.00\ [$zł-415]_-;\-* #,##0.00\ [$zł-415]_-;_-* &quot;-&quot;??\ [$zł-415]_-;_-@_-"/>
    </dxf>
    <dxf>
      <numFmt numFmtId="178" formatCode="_-[$$-409]* #,##0.00_ ;_-[$$-409]* \-#,##0.00\ ;_-[$$-409]* &quot;-&quot;??_ ;_-@_ "/>
    </dxf>
    <dxf>
      <numFmt numFmtId="180" formatCode="_-* #,##0.00\ [$Kč-405]_-;\-* #,##0.00\ [$Kč-405]_-;_-* &quot;-&quot;??\ [$Kč-405]_-;_-@_-"/>
    </dxf>
    <dxf>
      <numFmt numFmtId="177" formatCode="_-* #,##0.00\ [$zł-415]_-;\-* #,##0.00\ [$zł-415]_-;_-* &quot;-&quot;??\ [$zł-415]_-;_-@_-"/>
    </dxf>
    <dxf>
      <numFmt numFmtId="179" formatCode="_-[$€-2]\ * #,##0.00_-;\-[$€-2]\ * #,##0.00_-;_-[$€-2]\ * &quot;-&quot;??_-;_-@_-"/>
    </dxf>
    <dxf>
      <numFmt numFmtId="177" formatCode="_-* #,##0.00\ [$zł-415]_-;\-* #,##0.00\ [$zł-415]_-;_-* &quot;-&quot;??\ [$zł-415]_-;_-@_-"/>
    </dxf>
    <dxf>
      <numFmt numFmtId="179" formatCode="_-[$€-2]\ * #,##0.00_-;\-[$€-2]\ * #,##0.00_-;_-[$€-2]\ * &quot;-&quot;??_-;_-@_-"/>
    </dxf>
    <dxf>
      <numFmt numFmtId="178" formatCode="_-[$$-409]* #,##0.00_ ;_-[$$-409]* \-#,##0.00\ ;_-[$$-409]* &quot;-&quot;??_ ;_-@_ "/>
    </dxf>
    <dxf>
      <numFmt numFmtId="180" formatCode="_-* #,##0.00\ [$Kč-405]_-;\-* #,##0.00\ [$Kč-405]_-;_-* &quot;-&quot;??\ [$Kč-405]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font>
        <color theme="8" tint="-0.499984740745262"/>
      </font>
      <fill>
        <patternFill>
          <bgColor theme="8" tint="0.59996337778862885"/>
        </patternFill>
      </fill>
    </dxf>
    <dxf>
      <numFmt numFmtId="180" formatCode="_-* #,##0.00\ [$Kč-405]_-;\-* #,##0.00\ [$Kč-405]_-;_-* &quot;-&quot;??\ [$Kč-405]_-;_-@_-"/>
    </dxf>
    <dxf>
      <numFmt numFmtId="178" formatCode="_-[$$-409]* #,##0.00_ ;_-[$$-409]* \-#,##0.00\ ;_-[$$-409]* &quot;-&quot;??_ ;_-@_ "/>
    </dxf>
    <dxf>
      <numFmt numFmtId="179" formatCode="_-[$€-2]\ * #,##0.00_-;\-[$€-2]\ * #,##0.00_-;_-[$€-2]\ * &quot;-&quot;??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numFmt numFmtId="177" formatCode="_-* #,##0.00\ [$zł-415]_-;\-* #,##0.00\ [$zł-415]_-;_-* &quot;-&quot;??\ [$zł-415]_-;_-@_-"/>
    </dxf>
    <dxf>
      <font>
        <color theme="8" tint="-0.499984740745262"/>
      </font>
      <fill>
        <patternFill>
          <bgColor theme="8" tint="0.59996337778862885"/>
        </patternFill>
      </fill>
    </dxf>
    <dxf>
      <numFmt numFmtId="178" formatCode="_-[$$-409]* #,##0.00_ ;_-[$$-409]* \-#,##0.00\ ;_-[$$-409]* &quot;-&quot;??_ ;_-@_ "/>
    </dxf>
    <dxf>
      <numFmt numFmtId="179" formatCode="_-[$€-2]\ * #,##0.00_-;\-[$€-2]\ * #,##0.00_-;_-[$€-2]\ * &quot;-&quot;??_-;_-@_-"/>
    </dxf>
    <dxf>
      <numFmt numFmtId="180" formatCode="_-* #,##0.00\ [$Kč-405]_-;\-* #,##0.00\ [$Kč-405]_-;_-* &quot;-&quot;??\ [$Kč-405]_-;_-@_-"/>
    </dxf>
    <dxf>
      <numFmt numFmtId="179" formatCode="_-[$€-2]\ * #,##0.00_-;\-[$€-2]\ * #,##0.00_-;_-[$€-2]\ * &quot;-&quot;??_-;_-@_-"/>
    </dxf>
    <dxf>
      <numFmt numFmtId="180" formatCode="_-* #,##0.00\ [$Kč-405]_-;\-* #,##0.00\ [$Kč-405]_-;_-* &quot;-&quot;??\ [$Kč-405]_-;_-@_-"/>
    </dxf>
    <dxf>
      <numFmt numFmtId="177" formatCode="_-* #,##0.00\ [$zł-415]_-;\-* #,##0.00\ [$zł-415]_-;_-* &quot;-&quot;??\ [$zł-415]_-;_-@_-"/>
    </dxf>
    <dxf>
      <numFmt numFmtId="178" formatCode="_-[$$-409]* #,##0.00_ ;_-[$$-409]* \-#,##0.00\ ;_-[$$-409]* &quot;-&quot;??_ ;_-@_ "/>
    </dxf>
    <dxf>
      <numFmt numFmtId="180" formatCode="_-* #,##0.00\ [$Kč-405]_-;\-* #,##0.00\ [$Kč-405]_-;_-* &quot;-&quot;??\ [$Kč-405]_-;_-@_-"/>
    </dxf>
    <dxf>
      <numFmt numFmtId="177" formatCode="_-* #,##0.00\ [$zł-415]_-;\-* #,##0.00\ [$zł-415]_-;_-* &quot;-&quot;??\ [$zł-415]_-;_-@_-"/>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80" formatCode="_-* #,##0.00\ [$Kč-405]_-;\-* #,##0.00\ [$Kč-405]_-;_-* &quot;-&quot;??\ [$Kč-405]_-;_-@_-"/>
    </dxf>
    <dxf>
      <numFmt numFmtId="179" formatCode="_-[$€-2]\ * #,##0.00_-;\-[$€-2]\ * #,##0.00_-;_-[$€-2]\ * &quot;-&quot;??_-;_-@_-"/>
    </dxf>
    <dxf>
      <numFmt numFmtId="177" formatCode="_-* #,##0.00\ [$zł-415]_-;\-* #,##0.00\ [$zł-415]_-;_-* &quot;-&quot;??\ [$zł-415]_-;_-@_-"/>
    </dxf>
    <dxf>
      <numFmt numFmtId="178" formatCode="_-[$$-409]* #,##0.00_ ;_-[$$-409]* \-#,##0.00\ ;_-[$$-409]* &quot;-&quot;??_ ;_-@_ "/>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7" formatCode="_-* #,##0.00\ [$zł-415]_-;\-* #,##0.00\ [$zł-415]_-;_-* &quot;-&quot;??\ [$zł-415]_-;_-@_-"/>
    </dxf>
    <dxf>
      <numFmt numFmtId="180" formatCode="_-* #,##0.00\ [$Kč-405]_-;\-* #,##0.00\ [$Kč-405]_-;_-* &quot;-&quot;??\ [$Kč-405]_-;_-@_-"/>
    </dxf>
    <dxf>
      <numFmt numFmtId="179" formatCode="_-[$€-2]\ * #,##0.00_-;\-[$€-2]\ * #,##0.00_-;_-[$€-2]\ * &quot;-&quot;??_-;_-@_-"/>
    </dxf>
    <dxf>
      <numFmt numFmtId="178" formatCode="_-[$$-409]* #,##0.00_ ;_-[$$-409]* \-#,##0.00\ ;_-[$$-409]* &quot;-&quot;??_ ;_-@_ "/>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7" formatCode="_-* #,##0.00\ [$zł-415]_-;\-* #,##0.00\ [$zł-415]_-;_-* &quot;-&quot;??\ [$zł-415]_-;_-@_-"/>
    </dxf>
    <dxf>
      <numFmt numFmtId="179" formatCode="_-[$€-2]\ * #,##0.00_-;\-[$€-2]\ * #,##0.00_-;_-[$€-2]\ * &quot;-&quot;??_-;_-@_-"/>
    </dxf>
    <dxf>
      <numFmt numFmtId="180" formatCode="_-* #,##0.00\ [$Kč-405]_-;\-* #,##0.00\ [$Kč-405]_-;_-* &quot;-&quot;??\ [$Kč-405]_-;_-@_-"/>
    </dxf>
    <dxf>
      <numFmt numFmtId="178" formatCode="_-[$$-409]* #,##0.00_ ;_-[$$-409]* \-#,##0.00\ ;_-[$$-409]* &quot;-&quot;??_ ;_-@_ "/>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9" formatCode="_-[$€-2]\ * #,##0.00_-;\-[$€-2]\ * #,##0.00_-;_-[$€-2]\ * &quot;-&quot;??_-;_-@_-"/>
    </dxf>
    <dxf>
      <numFmt numFmtId="178" formatCode="_-[$$-409]* #,##0.00_ ;_-[$$-409]* \-#,##0.00\ ;_-[$$-409]* &quot;-&quot;??_ ;_-@_ "/>
    </dxf>
    <dxf>
      <numFmt numFmtId="180" formatCode="_-* #,##0.00\ [$Kč-405]_-;\-* #,##0.00\ [$Kč-405]_-;_-* &quot;-&quot;??\ [$Kč-405]_-;_-@_-"/>
    </dxf>
    <dxf>
      <numFmt numFmtId="177" formatCode="_-* #,##0.00\ [$zł-415]_-;\-* #,##0.00\ [$zł-415]_-;_-* &quot;-&quot;??\ [$zł-415]_-;_-@_-"/>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numFmt numFmtId="179" formatCode="_-[$€-2]\ * #,##0.00_-;\-[$€-2]\ * #,##0.00_-;_-[$€-2]\ * &quot;-&quot;??_-;_-@_-"/>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theme="0"/>
        </patternFill>
      </fill>
    </dxf>
    <dxf>
      <font>
        <color rgb="FFC00000"/>
      </font>
      <fill>
        <patternFill>
          <bgColor theme="5" tint="0.79998168889431442"/>
        </patternFill>
      </fill>
    </dxf>
    <dxf>
      <font>
        <b val="0"/>
        <i val="0"/>
        <color rgb="FFC00000"/>
      </font>
      <fill>
        <patternFill patternType="none">
          <bgColor auto="1"/>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rgb="FF9C0006"/>
      </font>
      <fill>
        <patternFill>
          <bgColor rgb="FFFFC7CE"/>
        </patternFill>
      </fill>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rgb="FF9C0006"/>
      </font>
      <fill>
        <patternFill>
          <bgColor rgb="FFFFC7CE"/>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rgb="FFC00000"/>
      </font>
      <fill>
        <patternFill>
          <bgColor theme="5" tint="0.79998168889431442"/>
        </patternFill>
      </fill>
    </dxf>
    <dxf>
      <font>
        <color theme="8" tint="0.79998168889431442"/>
      </font>
      <fill>
        <patternFill>
          <bgColor theme="8" tint="0.79998168889431442"/>
        </patternFill>
      </fill>
      <border>
        <left style="thin">
          <color auto="1"/>
        </left>
        <right/>
        <top style="thin">
          <color auto="1"/>
        </top>
        <bottom/>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rgb="FF9C0006"/>
      </font>
      <fill>
        <patternFill>
          <bgColor rgb="FFFFC7CE"/>
        </patternFill>
      </fill>
    </dxf>
    <dxf>
      <font>
        <color rgb="FF9C0006"/>
      </font>
      <fill>
        <patternFill>
          <bgColor rgb="FFFFC7CE"/>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8" tint="0.79998168889431442"/>
      </font>
      <fill>
        <patternFill>
          <bgColor theme="8" tint="0.79998168889431442"/>
        </patternFill>
      </fill>
    </dxf>
    <dxf>
      <font>
        <b/>
        <i val="0"/>
        <color theme="8" tint="0.79998168889431442"/>
      </font>
      <fill>
        <patternFill>
          <bgColor theme="8" tint="0.79998168889431442"/>
        </patternFill>
      </fill>
      <border>
        <left/>
        <right/>
        <top/>
        <bottom/>
        <vertical/>
        <horizontal/>
      </border>
    </dxf>
    <dxf>
      <font>
        <b/>
        <i val="0"/>
        <color rgb="FFC00000"/>
      </font>
      <fill>
        <patternFill>
          <bgColor theme="5" tint="0.79998168889431442"/>
        </patternFill>
      </fill>
    </dxf>
    <dxf>
      <font>
        <b/>
        <i val="0"/>
        <color theme="8" tint="-0.499984740745262"/>
      </font>
      <fill>
        <patternFill>
          <bgColor theme="8" tint="0.79998168889431442"/>
        </patternFill>
      </fill>
      <border>
        <left style="thin">
          <color auto="1"/>
        </left>
        <right style="thin">
          <color auto="1"/>
        </right>
        <top style="thin">
          <color auto="1"/>
        </top>
        <bottom style="thin">
          <color auto="1"/>
        </bottom>
      </border>
    </dxf>
    <dxf>
      <font>
        <color theme="8" tint="0.79998168889431442"/>
      </font>
      <fill>
        <patternFill>
          <bgColor theme="8" tint="0.79998168889431442"/>
        </patternFill>
      </fill>
      <border>
        <right style="thin">
          <color auto="1"/>
        </right>
        <top style="thin">
          <color auto="1"/>
        </top>
        <bottom/>
        <vertical/>
        <horizontal/>
      </border>
    </dxf>
    <dxf>
      <font>
        <color theme="8" tint="0.79998168889431442"/>
      </font>
      <fill>
        <patternFill>
          <bgColor theme="8" tint="0.79998168889431442"/>
        </patternFill>
      </fill>
      <border>
        <right/>
        <bottom/>
      </border>
    </dxf>
    <dxf>
      <font>
        <color theme="8" tint="0.79998168889431442"/>
      </font>
      <fill>
        <patternFill>
          <bgColor theme="8" tint="0.79998168889431442"/>
        </patternFill>
      </fill>
      <border>
        <right/>
        <top style="thin">
          <color auto="1"/>
        </top>
        <bottom/>
        <vertical/>
        <horizontal/>
      </border>
    </dxf>
    <dxf>
      <font>
        <color theme="8" tint="0.79998168889431442"/>
      </font>
      <fill>
        <patternFill>
          <bgColor theme="8" tint="0.79998168889431442"/>
        </patternFill>
      </fill>
      <border>
        <left style="thin">
          <color auto="1"/>
        </left>
        <right/>
        <top style="thin">
          <color auto="1"/>
        </top>
        <bottom/>
      </border>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theme="0"/>
        </patternFill>
      </fill>
    </dxf>
    <dxf>
      <font>
        <color rgb="FF9C0006"/>
      </font>
      <fill>
        <patternFill>
          <bgColor rgb="FFFFC7CE"/>
        </patternFill>
      </fill>
    </dxf>
    <dxf>
      <font>
        <color theme="8" tint="-0.499984740745262"/>
      </font>
    </dxf>
    <dxf>
      <font>
        <color rgb="FF9C0006"/>
      </font>
      <fill>
        <patternFill>
          <bgColor theme="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dxf>
    <dxf>
      <font>
        <color theme="8" tint="0.79998168889431442"/>
      </font>
      <fill>
        <patternFill>
          <bgColor theme="8" tint="0.79998168889431442"/>
        </patternFill>
      </fill>
      <border>
        <right/>
        <top/>
        <bottom/>
        <vertical/>
        <horizontal/>
      </border>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theme="8" tint="-0.24994659260841701"/>
        </patternFill>
      </fill>
    </dxf>
    <dxf>
      <font>
        <color theme="0"/>
      </font>
      <fill>
        <patternFill>
          <bgColor rgb="FFFF0000"/>
        </patternFill>
      </fill>
    </dxf>
    <dxf>
      <font>
        <color rgb="FF9C0006"/>
      </font>
      <fill>
        <patternFill>
          <bgColor rgb="FFFFC7CE"/>
        </patternFill>
      </fill>
    </dxf>
    <dxf>
      <font>
        <color theme="8" tint="-0.499984740745262"/>
      </font>
      <fill>
        <patternFill>
          <bgColor theme="8" tint="0.79998168889431442"/>
        </patternFill>
      </fill>
    </dxf>
    <dxf>
      <font>
        <color theme="8" tint="0.79998168889431442"/>
      </font>
      <fill>
        <patternFill>
          <bgColor theme="8" tint="0.79998168889431442"/>
        </patternFill>
      </fill>
      <border>
        <right/>
        <top/>
        <bottom/>
        <vertical/>
        <horizontal/>
      </border>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color theme="8" tint="-0.499984740745262"/>
      </font>
      <fill>
        <patternFill>
          <bgColor theme="8" tint="0.79998168889431442"/>
        </patternFill>
      </fill>
    </dxf>
    <dxf>
      <font>
        <color theme="8" tint="0.79998168889431442"/>
      </font>
      <border>
        <right/>
        <top/>
        <bottom/>
        <vertical/>
        <horizontal/>
      </border>
    </dxf>
    <dxf>
      <font>
        <color theme="8" tint="0.79998168889431442"/>
      </font>
    </dxf>
    <dxf>
      <font>
        <color theme="8" tint="-0.499984740745262"/>
      </font>
      <border>
        <left style="thin">
          <color auto="1"/>
        </left>
        <right style="thin">
          <color auto="1"/>
        </right>
        <top style="thin">
          <color auto="1"/>
        </top>
        <bottom style="thin">
          <color auto="1"/>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0"/>
      </font>
      <fill>
        <patternFill>
          <bgColor rgb="FFFF0000"/>
        </patternFill>
      </fill>
    </dxf>
    <dxf>
      <font>
        <color theme="0"/>
      </font>
      <fill>
        <patternFill>
          <bgColor theme="8" tint="-0.24994659260841701"/>
        </patternFill>
      </fill>
    </dxf>
    <dxf>
      <font>
        <color rgb="FF9C0006"/>
      </font>
      <fill>
        <patternFill>
          <bgColor rgb="FFFFC7CE"/>
        </patternFill>
      </fill>
    </dxf>
    <dxf>
      <font>
        <color theme="8" tint="-0.499984740745262"/>
      </font>
      <fill>
        <patternFill>
          <bgColor theme="8" tint="0.79998168889431442"/>
        </patternFill>
      </fill>
    </dxf>
    <dxf>
      <font>
        <color theme="8" tint="-0.499984740745262"/>
      </font>
      <border>
        <left style="thin">
          <color auto="1"/>
        </left>
        <right style="thin">
          <color auto="1"/>
        </right>
        <top style="thin">
          <color auto="1"/>
        </top>
        <bottom style="thin">
          <color auto="1"/>
        </bottom>
        <vertical/>
        <horizontal/>
      </border>
    </dxf>
    <dxf>
      <font>
        <color theme="8" tint="0.79998168889431442"/>
      </font>
      <border>
        <right/>
        <top/>
        <bottom/>
        <vertical/>
        <horizontal/>
      </border>
    </dxf>
    <dxf>
      <font>
        <color theme="8" tint="0.79998168889431442"/>
      </font>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top/>
        <bottom/>
        <vertical/>
        <horizontal/>
      </border>
    </dxf>
    <dxf>
      <font>
        <color theme="8" tint="0.79998168889431442"/>
      </font>
      <fill>
        <patternFill>
          <bgColor theme="8" tint="0.79998168889431442"/>
        </patternFill>
      </fill>
      <border>
        <right style="thin">
          <color auto="1"/>
        </right>
        <top style="thin">
          <color auto="1"/>
        </top>
        <bottom/>
        <vertical/>
        <horizontal/>
      </border>
    </dxf>
    <dxf>
      <font>
        <color rgb="FF9C0006"/>
      </font>
      <fill>
        <patternFill>
          <bgColor rgb="FFFFC7CE"/>
        </patternFill>
      </fill>
    </dxf>
    <dxf>
      <font>
        <color theme="0"/>
      </font>
      <fill>
        <patternFill>
          <bgColor theme="8" tint="-0.24994659260841701"/>
        </patternFill>
      </fill>
    </dxf>
    <dxf>
      <font>
        <color theme="0"/>
      </font>
      <fill>
        <patternFill>
          <bgColor rgb="FFFF000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dxf>
    <dxf>
      <font>
        <b/>
        <i val="0"/>
        <color theme="8" tint="-0.499984740745262"/>
      </font>
      <border>
        <left style="thin">
          <color auto="1"/>
        </left>
        <right style="thin">
          <color auto="1"/>
        </right>
        <bottom style="thin">
          <color auto="1"/>
        </bottom>
        <vertical/>
        <horizontal/>
      </border>
    </dxf>
    <dxf>
      <font>
        <color theme="8" tint="-0.499984740745262"/>
      </font>
    </dxf>
    <dxf>
      <font>
        <color theme="8" tint="0.79998168889431442"/>
      </font>
      <fill>
        <patternFill>
          <bgColor theme="8"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color rgb="FF9C0006"/>
      </font>
      <fill>
        <patternFill>
          <bgColor theme="0"/>
        </patternFill>
      </fill>
    </dxf>
    <dxf>
      <font>
        <b/>
        <i val="0"/>
        <color rgb="FFC00000"/>
      </font>
      <fill>
        <patternFill>
          <bgColor theme="5" tint="0.79998168889431442"/>
        </patternFill>
      </fill>
    </dxf>
    <dxf>
      <font>
        <color theme="0"/>
      </font>
      <fill>
        <patternFill>
          <bgColor theme="8" tint="-0.499984740745262"/>
        </patternFill>
      </fill>
    </dxf>
    <dxf>
      <font>
        <color theme="0"/>
      </font>
      <fill>
        <patternFill>
          <bgColor theme="0"/>
        </patternFill>
      </fill>
    </dxf>
    <dxf>
      <font>
        <color rgb="FF9C0006"/>
      </font>
      <fill>
        <patternFill>
          <bgColor theme="0"/>
        </patternFill>
      </fill>
    </dxf>
    <dxf>
      <font>
        <color theme="0"/>
      </font>
      <fill>
        <patternFill>
          <bgColor theme="0"/>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border>
        <left style="thin">
          <color auto="1"/>
        </left>
        <right/>
        <bottom style="thin">
          <color auto="1"/>
        </bottom>
        <vertical/>
        <horizontal/>
      </border>
    </dxf>
    <dxf>
      <font>
        <color theme="8" tint="0.79998168889431442"/>
      </font>
    </dxf>
    <dxf>
      <font>
        <color rgb="FFC00000"/>
      </font>
      <fill>
        <patternFill>
          <bgColor theme="0"/>
        </patternFill>
      </fill>
    </dxf>
    <dxf>
      <font>
        <b/>
        <i val="0"/>
        <color rgb="FFC00000"/>
      </font>
      <fill>
        <patternFill>
          <bgColor theme="0"/>
        </patternFill>
      </fill>
    </dxf>
    <dxf>
      <font>
        <b/>
        <i val="0"/>
        <color rgb="FFC00000"/>
      </font>
      <fill>
        <patternFill>
          <bgColor theme="0"/>
        </patternFill>
      </fill>
    </dxf>
    <dxf>
      <font>
        <color rgb="FFC00000"/>
      </font>
      <fill>
        <patternFill>
          <bgColor theme="0"/>
        </patternFill>
      </fill>
    </dxf>
    <dxf>
      <font>
        <color rgb="FFC00000"/>
      </font>
      <fill>
        <patternFill>
          <bgColor theme="0"/>
        </patternFill>
      </fill>
    </dxf>
    <dxf>
      <font>
        <color rgb="FF9C0006"/>
      </font>
      <fill>
        <patternFill>
          <bgColor rgb="FFFFC7CE"/>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auto="1"/>
      </font>
      <fill>
        <patternFill>
          <bgColor theme="8" tint="0.79998168889431442"/>
        </patternFill>
      </fill>
    </dxf>
    <dxf>
      <font>
        <b/>
        <i val="0"/>
        <color theme="0"/>
      </font>
      <numFmt numFmtId="0" formatCode="General"/>
      <fill>
        <patternFill>
          <bgColor rgb="FFFF0000"/>
        </patternFill>
      </fill>
    </dxf>
    <dxf>
      <font>
        <b/>
        <i val="0"/>
        <color auto="1"/>
      </font>
      <fill>
        <patternFill>
          <bgColor theme="8" tint="0.79998168889431442"/>
        </patternFill>
      </fill>
    </dxf>
    <dxf>
      <font>
        <b/>
        <i val="0"/>
        <color auto="1"/>
      </font>
      <fill>
        <patternFill>
          <bgColor theme="8" tint="0.79998168889431442"/>
        </patternFill>
      </fill>
    </dxf>
    <dxf>
      <font>
        <color theme="8" tint="-0.499984740745262"/>
      </font>
    </dxf>
    <dxf>
      <font>
        <b/>
        <i val="0"/>
        <color auto="1"/>
      </font>
      <fill>
        <patternFill>
          <bgColor theme="8" tint="0.79998168889431442"/>
        </patternFill>
      </fill>
    </dxf>
    <dxf>
      <font>
        <b/>
        <i val="0"/>
        <color theme="0"/>
      </font>
      <numFmt numFmtId="0" formatCode="General"/>
      <fill>
        <patternFill>
          <bgColor rgb="FFFF0000"/>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font>
        <color theme="8" tint="-0.499984740745262"/>
      </font>
      <fill>
        <patternFill>
          <bgColor theme="8" tint="0.59996337778862885"/>
        </patternFill>
      </fill>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numFmt numFmtId="179" formatCode="_-[$€-2]\ * #,##0.00_-;\-[$€-2]\ * #,##0.00_-;_-[$€-2]\ * &quot;-&quot;??_-;_-@_-"/>
    </dxf>
    <dxf>
      <font>
        <b val="0"/>
        <i val="0"/>
        <color rgb="FFC00000"/>
      </font>
      <fill>
        <patternFill>
          <bgColor theme="5" tint="0.79998168889431442"/>
        </patternFill>
      </fill>
    </dxf>
    <dxf>
      <font>
        <b val="0"/>
        <i val="0"/>
        <color theme="0"/>
      </font>
      <fill>
        <patternFill>
          <bgColor theme="8" tint="-0.49998474074526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rgb="FFC00000"/>
      </font>
      <fill>
        <patternFill>
          <bgColor theme="5" tint="0.79998168889431442"/>
        </patternFill>
      </fill>
    </dxf>
    <dxf>
      <font>
        <color theme="0"/>
      </font>
      <fill>
        <patternFill>
          <bgColor theme="8" tint="-0.49998474074526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color theme="8" tint="-0.499984740745262"/>
      </font>
      <fill>
        <patternFill>
          <bgColor theme="8" tint="0.59996337778862885"/>
        </patternFill>
      </fill>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80" formatCode="_-* #,##0.00\ [$Kč-405]_-;\-* #,##0.00\ [$Kč-405]_-;_-* &quot;-&quot;??\ [$Kč-405]_-;_-@_-"/>
    </dxf>
    <dxf>
      <numFmt numFmtId="177" formatCode="_-* #,##0.00\ [$zł-415]_-;\-* #,##0.00\ [$zł-415]_-;_-* &quot;-&quot;??\ [$zł-415]_-;_-@_-"/>
    </dxf>
    <dxf>
      <numFmt numFmtId="178" formatCode="_-[$$-409]* #,##0.00_ ;_-[$$-409]* \-#,##0.00\ ;_-[$$-409]* &quot;-&quot;??_ ;_-@_ "/>
    </dxf>
    <dxf>
      <numFmt numFmtId="179" formatCode="_-[$€-2]\ * #,##0.00_-;\-[$€-2]\ * #,##0.00_-;_-[$€-2]\ * &quot;-&quot;??_-;_-@_-"/>
    </dxf>
    <dxf>
      <numFmt numFmtId="179" formatCode="_-[$€-2]\ * #,##0.00_-;\-[$€-2]\ * #,##0.00_-;_-[$€-2]\ * &quot;-&quot;??_-;_-@_-"/>
    </dxf>
    <dxf>
      <font>
        <b val="0"/>
        <i val="0"/>
        <color theme="0"/>
      </font>
      <fill>
        <patternFill>
          <bgColor theme="8" tint="-0.499984740745262"/>
        </patternFill>
      </fill>
    </dxf>
    <dxf>
      <font>
        <b val="0"/>
        <i val="0"/>
        <color rgb="FFC00000"/>
      </font>
      <fill>
        <patternFill>
          <bgColor theme="5" tint="0.79998168889431442"/>
        </patternFill>
      </fill>
    </dxf>
    <dxf>
      <font>
        <b val="0"/>
        <i val="0"/>
        <color rgb="FFC00000"/>
      </font>
      <fill>
        <patternFill>
          <bgColor theme="5" tint="0.79998168889431442"/>
        </patternFill>
      </fill>
    </dxf>
    <dxf>
      <font>
        <b val="0"/>
        <i val="0"/>
        <color theme="0"/>
      </font>
      <fill>
        <patternFill>
          <bgColor theme="8" tint="-0.499984740745262"/>
        </patternFill>
      </fill>
    </dxf>
    <dxf>
      <font>
        <b/>
        <i val="0"/>
        <color theme="8" tint="-0.499984740745262"/>
      </font>
      <fill>
        <patternFill>
          <bgColor theme="8" tint="0.59996337778862885"/>
        </patternFill>
      </fill>
    </dxf>
    <dxf>
      <font>
        <b/>
        <i val="0"/>
        <color theme="8" tint="-0.499984740745262"/>
      </font>
      <fill>
        <patternFill>
          <bgColor theme="8" tint="0.59996337778862885"/>
        </patternFill>
      </fill>
    </dxf>
    <dxf>
      <font>
        <color theme="8" tint="0.79998168889431442"/>
      </font>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b/>
        <i val="0"/>
        <color theme="8" tint="-0.499984740745262"/>
      </font>
      <fill>
        <patternFill>
          <bgColor theme="8" tint="0.39994506668294322"/>
        </patternFill>
      </fill>
      <border>
        <left style="thin">
          <color auto="1"/>
        </left>
        <right style="thin">
          <color auto="1"/>
        </right>
        <top style="thin">
          <color auto="1"/>
        </top>
        <bottom style="thin">
          <color auto="1"/>
        </bottom>
      </border>
    </dxf>
    <dxf>
      <font>
        <color theme="0"/>
      </font>
      <fill>
        <patternFill>
          <bgColor theme="8" tint="-0.499984740745262"/>
        </patternFill>
      </fill>
    </dxf>
    <dxf>
      <font>
        <b/>
        <i val="0"/>
        <color rgb="FFC00000"/>
      </font>
      <fill>
        <patternFill>
          <bgColor theme="5" tint="0.79998168889431442"/>
        </patternFill>
      </fill>
    </dxf>
    <dxf>
      <fill>
        <patternFill>
          <bgColor theme="0"/>
        </patternFill>
      </fill>
    </dxf>
    <dxf>
      <font>
        <color rgb="FFC00000"/>
      </font>
      <fill>
        <patternFill>
          <bgColor theme="0"/>
        </patternFill>
      </fill>
    </dxf>
    <dxf>
      <font>
        <b/>
        <i val="0"/>
        <color auto="1"/>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auto="1"/>
      </font>
      <fill>
        <patternFill>
          <bgColor theme="8" tint="0.79998168889431442"/>
        </patternFill>
      </fill>
    </dxf>
    <dxf>
      <font>
        <b/>
        <i val="0"/>
        <color rgb="FF007A37"/>
      </font>
      <fill>
        <patternFill>
          <bgColor theme="8" tint="0.79998168889431442"/>
        </patternFill>
      </fill>
    </dxf>
    <dxf>
      <font>
        <b/>
        <i val="0"/>
        <color rgb="FFC40000"/>
      </font>
      <fill>
        <patternFill>
          <bgColor theme="8" tint="0.7999816888943144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
      <font>
        <b/>
        <i val="0"/>
        <color theme="8" tint="-0.499984740745262"/>
      </font>
      <fill>
        <patternFill>
          <bgColor theme="8" tint="0.59996337778862885"/>
        </patternFill>
      </fill>
      <border>
        <vertical/>
        <horizontal/>
      </border>
    </dxf>
    <dxf>
      <font>
        <color theme="8" tint="-0.499984740745262"/>
      </font>
      <fill>
        <patternFill>
          <bgColor theme="8" tint="0.59996337778862885"/>
        </patternFill>
      </fill>
    </dxf>
    <dxf>
      <numFmt numFmtId="179" formatCode="_-[$€-2]\ * #,##0.00_-;\-[$€-2]\ * #,##0.00_-;_-[$€-2]\ * &quot;-&quot;??_-;_-@_-"/>
    </dxf>
    <dxf>
      <numFmt numFmtId="178" formatCode="_-[$$-409]* #,##0.00_ ;_-[$$-409]* \-#,##0.00\ ;_-[$$-409]* &quot;-&quot;??_ ;_-@_ "/>
    </dxf>
    <dxf>
      <numFmt numFmtId="177" formatCode="_-* #,##0.00\ [$zł-415]_-;\-* #,##0.00\ [$zł-415]_-;_-* &quot;-&quot;??\ [$zł-415]_-;_-@_-"/>
    </dxf>
    <dxf>
      <numFmt numFmtId="180" formatCode="_-* #,##0.00\ [$Kč-405]_-;\-* #,##0.00\ [$Kč-405]_-;_-* &quot;-&quot;??\ [$Kč-405]_-;_-@_-"/>
    </dxf>
    <dxf>
      <numFmt numFmtId="177" formatCode="_-* #,##0.00\ [$zł-415]_-;\-* #,##0.00\ [$zł-415]_-;_-* &quot;-&quot;??\ [$zł-415]_-;_-@_-"/>
    </dxf>
    <dxf>
      <numFmt numFmtId="180" formatCode="_-* #,##0.00\ [$Kč-405]_-;\-* #,##0.00\ [$Kč-405]_-;_-* &quot;-&quot;??\ [$Kč-405]_-;_-@_-"/>
    </dxf>
    <dxf>
      <numFmt numFmtId="178" formatCode="_-[$$-409]* #,##0.00_ ;_-[$$-409]* \-#,##0.00\ ;_-[$$-409]* &quot;-&quot;??_ ;_-@_ "/>
    </dxf>
    <dxf>
      <numFmt numFmtId="179" formatCode="_-[$€-2]\ * #,##0.00_-;\-[$€-2]\ * #,##0.00_-;_-[$€-2]\ * &quot;-&quot;??_-;_-@_-"/>
    </dxf>
    <dxf>
      <font>
        <b val="0"/>
        <i val="0"/>
        <color theme="8" tint="0.79995117038483843"/>
      </font>
      <fill>
        <patternFill patternType="solid">
          <bgColor theme="8" tint="-0.499984740745262"/>
        </patternFill>
      </fill>
      <border>
        <left/>
        <right/>
        <top/>
        <bottom/>
      </border>
    </dxf>
    <dxf>
      <font>
        <b val="0"/>
        <i val="0"/>
        <color theme="5" tint="-0.24994659260841701"/>
      </font>
      <fill>
        <patternFill>
          <bgColor theme="5" tint="0.79998168889431442"/>
        </patternFill>
      </fill>
      <border>
        <left/>
        <right/>
        <top/>
        <bottom/>
      </border>
    </dxf>
    <dxf>
      <numFmt numFmtId="177" formatCode="_-* #,##0.00\ [$zł-415]_-;\-* #,##0.00\ [$zł-415]_-;_-* &quot;-&quot;??\ [$zł-415]_-;_-@_-"/>
    </dxf>
    <dxf>
      <numFmt numFmtId="178" formatCode="_-[$$-409]* #,##0.00_ ;_-[$$-409]* \-#,##0.00\ ;_-[$$-409]* &quot;-&quot;??_ ;_-@_ "/>
    </dxf>
    <dxf>
      <numFmt numFmtId="179" formatCode="_-[$€-2]\ * #,##0.00_-;\-[$€-2]\ * #,##0.00_-;_-[$€-2]\ * &quot;-&quot;??_-;_-@_-"/>
    </dxf>
    <dxf>
      <numFmt numFmtId="180" formatCode="_-* #,##0.00\ [$Kč-405]_-;\-* #,##0.00\ [$Kč-405]_-;_-* &quot;-&quot;??\ [$Kč-405]_-;_-@_-"/>
    </dxf>
    <dxf>
      <font>
        <b/>
        <i val="0"/>
        <color theme="8" tint="-0.499984740745262"/>
      </font>
      <fill>
        <patternFill>
          <bgColor theme="8" tint="0.59996337778862885"/>
        </patternFill>
      </fill>
    </dxf>
    <dxf>
      <numFmt numFmtId="179" formatCode="_-[$€-2]\ * #,##0.00_-;\-[$€-2]\ * #,##0.00_-;_-[$€-2]\ * &quot;-&quot;??_-;_-@_-"/>
    </dxf>
    <dxf>
      <font>
        <b val="0"/>
        <i val="0"/>
        <color rgb="FFC00000"/>
      </font>
      <fill>
        <patternFill patternType="none">
          <bgColor auto="1"/>
        </patternFill>
      </fill>
    </dxf>
    <dxf>
      <font>
        <b val="0"/>
        <i val="0"/>
        <color rgb="FFC00000"/>
      </font>
      <fill>
        <patternFill patternType="none">
          <bgColor auto="1"/>
        </patternFill>
      </fill>
    </dxf>
    <dxf>
      <font>
        <b/>
        <i val="0"/>
        <color rgb="FFC00000"/>
      </font>
      <fill>
        <patternFill>
          <bgColor theme="5" tint="0.79998168889431442"/>
        </patternFill>
      </fill>
    </dxf>
    <dxf>
      <font>
        <color theme="0"/>
      </font>
      <fill>
        <patternFill>
          <bgColor theme="8" tint="-0.499984740745262"/>
        </patternFill>
      </fill>
    </dxf>
    <dxf>
      <font>
        <color rgb="FFC00000"/>
      </font>
      <fill>
        <patternFill>
          <bgColor theme="0"/>
        </patternFill>
      </fill>
      <border>
        <left style="thin">
          <color auto="1"/>
        </left>
        <right style="thin">
          <color auto="1"/>
        </right>
        <top style="thin">
          <color auto="1"/>
        </top>
        <bottom style="thin">
          <color auto="1"/>
        </bottom>
        <vertical/>
        <horizontal/>
      </border>
    </dxf>
    <dxf>
      <font>
        <color rgb="FFC00000"/>
      </font>
      <fill>
        <patternFill>
          <bgColor theme="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00CC00"/>
      <color rgb="FFC40000"/>
      <color rgb="FFFFC5FF"/>
      <color rgb="FF007A37"/>
      <color rgb="FF8439BD"/>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13</xdr:col>
      <xdr:colOff>56737</xdr:colOff>
      <xdr:row>2</xdr:row>
      <xdr:rowOff>57151</xdr:rowOff>
    </xdr:from>
    <xdr:to>
      <xdr:col>14</xdr:col>
      <xdr:colOff>819149</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562" y="438151"/>
          <a:ext cx="1753012" cy="3809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834801</xdr:colOff>
      <xdr:row>4</xdr:row>
      <xdr:rowOff>60959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0015" y="438150"/>
          <a:ext cx="1753012" cy="3809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819338</xdr:colOff>
      <xdr:row>4</xdr:row>
      <xdr:rowOff>58270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53992" y="434788"/>
          <a:ext cx="1721076" cy="38548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8</xdr:row>
          <xdr:rowOff>0</xdr:rowOff>
        </xdr:from>
        <xdr:to>
          <xdr:col>33</xdr:col>
          <xdr:colOff>101600</xdr:colOff>
          <xdr:row>70</xdr:row>
          <xdr:rowOff>101600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E00-0000015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10</xdr:col>
      <xdr:colOff>224117</xdr:colOff>
      <xdr:row>2</xdr:row>
      <xdr:rowOff>53788</xdr:rowOff>
    </xdr:from>
    <xdr:to>
      <xdr:col>11</xdr:col>
      <xdr:colOff>819338</xdr:colOff>
      <xdr:row>4</xdr:row>
      <xdr:rowOff>58270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84541" y="430306"/>
          <a:ext cx="1753012" cy="3809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817657</xdr:colOff>
      <xdr:row>4</xdr:row>
      <xdr:rowOff>57149</xdr:rowOff>
    </xdr:to>
    <xdr:pic>
      <xdr:nvPicPr>
        <xdr:cNvPr id="2" name="Picture 1">
          <a:extLst>
            <a:ext uri="{FF2B5EF4-FFF2-40B4-BE49-F238E27FC236}">
              <a16:creationId xmlns:a16="http://schemas.microsoft.com/office/drawing/2014/main" id="{4BB281EF-B023-44C8-8946-300F67F2E2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3835" y="438150"/>
          <a:ext cx="1751107" cy="384809"/>
        </a:xfrm>
        <a:prstGeom prst="rect">
          <a:avLst/>
        </a:prstGeom>
      </xdr:spPr>
    </xdr:pic>
    <xdr:clientData/>
  </xdr:twoCellAnchor>
  <xdr:twoCellAnchor editAs="oneCell">
    <xdr:from>
      <xdr:col>13</xdr:col>
      <xdr:colOff>66675</xdr:colOff>
      <xdr:row>2</xdr:row>
      <xdr:rowOff>57150</xdr:rowOff>
    </xdr:from>
    <xdr:to>
      <xdr:col>14</xdr:col>
      <xdr:colOff>817657</xdr:colOff>
      <xdr:row>4</xdr:row>
      <xdr:rowOff>57149</xdr:rowOff>
    </xdr:to>
    <xdr:pic>
      <xdr:nvPicPr>
        <xdr:cNvPr id="3" name="Picture 2">
          <a:extLst>
            <a:ext uri="{FF2B5EF4-FFF2-40B4-BE49-F238E27FC236}">
              <a16:creationId xmlns:a16="http://schemas.microsoft.com/office/drawing/2014/main" id="{43845F14-608C-4AF3-82B1-290C6CEB6E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3835" y="438150"/>
          <a:ext cx="1751107" cy="38480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821467</xdr:colOff>
      <xdr:row>4</xdr:row>
      <xdr:rowOff>60959</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7635" y="438150"/>
          <a:ext cx="1753012" cy="3809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13</xdr:col>
      <xdr:colOff>66675</xdr:colOff>
      <xdr:row>2</xdr:row>
      <xdr:rowOff>57150</xdr:rowOff>
    </xdr:from>
    <xdr:to>
      <xdr:col>14</xdr:col>
      <xdr:colOff>834802</xdr:colOff>
      <xdr:row>4</xdr:row>
      <xdr:rowOff>60959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35200" y="438150"/>
          <a:ext cx="1724437" cy="3809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14</xdr:col>
      <xdr:colOff>66675</xdr:colOff>
      <xdr:row>2</xdr:row>
      <xdr:rowOff>57150</xdr:rowOff>
    </xdr:from>
    <xdr:to>
      <xdr:col>15</xdr:col>
      <xdr:colOff>829088</xdr:colOff>
      <xdr:row>4</xdr:row>
      <xdr:rowOff>57149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11425" y="438150"/>
          <a:ext cx="1753012" cy="38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781574</xdr:colOff>
      <xdr:row>4</xdr:row>
      <xdr:rowOff>92783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19322" y="461681"/>
          <a:ext cx="1714912" cy="385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699247</xdr:colOff>
      <xdr:row>2</xdr:row>
      <xdr:rowOff>80681</xdr:rowOff>
    </xdr:from>
    <xdr:to>
      <xdr:col>10</xdr:col>
      <xdr:colOff>841688</xdr:colOff>
      <xdr:row>4</xdr:row>
      <xdr:rowOff>92783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1929" y="457199"/>
          <a:ext cx="1753012" cy="3809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936478</xdr:colOff>
      <xdr:row>4</xdr:row>
      <xdr:rowOff>947</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59025" y="381000"/>
          <a:ext cx="1753012" cy="3809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76200</xdr:colOff>
      <xdr:row>2</xdr:row>
      <xdr:rowOff>0</xdr:rowOff>
    </xdr:from>
    <xdr:to>
      <xdr:col>14</xdr:col>
      <xdr:colOff>898379</xdr:colOff>
      <xdr:row>4</xdr:row>
      <xdr:rowOff>947</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58975" y="381000"/>
          <a:ext cx="1717528" cy="38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11</xdr:col>
      <xdr:colOff>0</xdr:colOff>
      <xdr:row>5</xdr:row>
      <xdr:rowOff>18601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2329" y="663388"/>
          <a:ext cx="1753012" cy="3809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116541</xdr:colOff>
      <xdr:row>3</xdr:row>
      <xdr:rowOff>35859</xdr:rowOff>
    </xdr:from>
    <xdr:to>
      <xdr:col>10</xdr:col>
      <xdr:colOff>855981</xdr:colOff>
      <xdr:row>5</xdr:row>
      <xdr:rowOff>22411</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44261" y="660699"/>
          <a:ext cx="1745280" cy="382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179294</xdr:colOff>
      <xdr:row>2</xdr:row>
      <xdr:rowOff>98612</xdr:rowOff>
    </xdr:from>
    <xdr:to>
      <xdr:col>10</xdr:col>
      <xdr:colOff>971738</xdr:colOff>
      <xdr:row>4</xdr:row>
      <xdr:rowOff>130547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6165" y="510988"/>
          <a:ext cx="1753012" cy="380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502024</xdr:colOff>
      <xdr:row>2</xdr:row>
      <xdr:rowOff>44825</xdr:rowOff>
    </xdr:from>
    <xdr:to>
      <xdr:col>10</xdr:col>
      <xdr:colOff>991012</xdr:colOff>
      <xdr:row>4</xdr:row>
      <xdr:rowOff>72950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5318" y="457201"/>
          <a:ext cx="1753012" cy="380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lton-my.sharepoint.com/personal/simon_still_halton_com/Documents/Desktop/HFL%20Cost%20Sheet%20Opera%20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azan/Library/Containers/com.microsoft.Excel/Data/Documents/hflserver\users\Samuel.Antunes\Desktop\New%20%20folder\COST%20SHEET\Pollustop%20Cost%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T CLG"/>
      <sheetName val="Contract"/>
      <sheetName val="SDU"/>
      <sheetName val="FILTER CANOPY"/>
      <sheetName val="ANSUL"/>
      <sheetName val="UV CANOPY"/>
    </sheetNames>
    <sheetDataSet>
      <sheetData sheetId="0"/>
      <sheetData sheetId="1"/>
      <sheetData sheetId="2"/>
      <sheetData sheetId="3"/>
      <sheetData sheetId="4"/>
      <sheetData sheetId="5">
        <row r="1">
          <cell r="T1" t="str">
            <v>Select Plant hire (weekly)</v>
          </cell>
        </row>
        <row r="2">
          <cell r="T2" t="str">
            <v>SL10 Genie</v>
          </cell>
        </row>
        <row r="3">
          <cell r="T3" t="str">
            <v>Extension forks</v>
          </cell>
        </row>
        <row r="4">
          <cell r="T4" t="str">
            <v>2.5m Combi ladder</v>
          </cell>
        </row>
        <row r="5">
          <cell r="T5" t="str">
            <v>Podium</v>
          </cell>
        </row>
        <row r="6">
          <cell r="T6" t="str">
            <v>3m Tower</v>
          </cell>
        </row>
        <row r="7">
          <cell r="T7" t="str">
            <v>Combi ladder</v>
          </cell>
        </row>
        <row r="8">
          <cell r="T8" t="str">
            <v>Trestles</v>
          </cell>
        </row>
        <row r="9">
          <cell r="T9" t="str">
            <v>3m Youngman board</v>
          </cell>
        </row>
        <row r="10">
          <cell r="T10" t="str">
            <v>GS1930 Scissor lift</v>
          </cell>
        </row>
        <row r="11">
          <cell r="T11" t="str">
            <v>4-6 Sherascopic</v>
          </cell>
        </row>
        <row r="12">
          <cell r="T12" t="str">
            <v>7-9 Sherascopic</v>
          </cell>
        </row>
        <row r="13">
          <cell r="T13" t="str">
            <v>8 Tread steps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Cos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FFFF00"/>
    <pageSetUpPr fitToPage="1"/>
  </sheetPr>
  <dimension ref="A1:AD141"/>
  <sheetViews>
    <sheetView showGridLines="0" tabSelected="1" zoomScale="80" zoomScaleNormal="80" zoomScaleSheetLayoutView="50" workbookViewId="0">
      <selection activeCell="R29" sqref="R29"/>
    </sheetView>
  </sheetViews>
  <sheetFormatPr baseColWidth="10" defaultColWidth="8.83203125" defaultRowHeight="15" customHeight="1" x14ac:dyDescent="0.15"/>
  <cols>
    <col min="1" max="1" width="2" style="215" customWidth="1"/>
    <col min="2" max="2" width="30.33203125" style="217" customWidth="1"/>
    <col min="3" max="3" width="25.83203125" style="217" bestFit="1" customWidth="1"/>
    <col min="4" max="4" width="20.5" style="217" customWidth="1"/>
    <col min="5" max="5" width="5" style="217" customWidth="1"/>
    <col min="6" max="6" width="18.83203125" style="217" customWidth="1"/>
    <col min="7" max="7" width="12.1640625" style="217" customWidth="1"/>
    <col min="8" max="8" width="7.6640625" style="233" customWidth="1"/>
    <col min="9" max="9" width="11.6640625" style="233" customWidth="1"/>
    <col min="10" max="10" width="6.33203125" style="348" customWidth="1"/>
    <col min="11" max="11" width="17.5" style="228" customWidth="1"/>
    <col min="12" max="12" width="5.6640625" style="228" bestFit="1" customWidth="1"/>
    <col min="13" max="13" width="4.5" style="346" bestFit="1" customWidth="1"/>
    <col min="14" max="14" width="14.5" style="348" bestFit="1" customWidth="1"/>
    <col min="15" max="15" width="13.6640625" style="14" bestFit="1" customWidth="1"/>
    <col min="16" max="17" width="8.83203125" style="217" customWidth="1"/>
    <col min="18" max="18" width="18.6640625" style="217" customWidth="1"/>
    <col min="19" max="19" width="15.5" style="217" customWidth="1"/>
    <col min="20" max="20" width="14.5" style="217" customWidth="1"/>
    <col min="21" max="21" width="10.33203125" style="217" customWidth="1"/>
    <col min="22"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B1" s="26" t="s">
        <v>699</v>
      </c>
      <c r="C1" s="216"/>
      <c r="D1" s="216"/>
      <c r="E1" s="216"/>
      <c r="F1" s="216"/>
      <c r="G1" s="216"/>
      <c r="H1" s="29"/>
      <c r="I1" s="29"/>
      <c r="J1" s="336"/>
      <c r="K1" s="337"/>
      <c r="L1" s="338"/>
      <c r="M1" s="339"/>
      <c r="N1" s="336"/>
      <c r="O1" s="312"/>
      <c r="S1" s="80"/>
      <c r="T1" s="218"/>
    </row>
    <row r="2" spans="1:28" ht="15" customHeight="1" x14ac:dyDescent="0.15">
      <c r="B2" s="79"/>
      <c r="C2" s="221"/>
      <c r="D2" s="221"/>
      <c r="F2" s="79"/>
      <c r="G2" s="77"/>
      <c r="H2" s="222"/>
      <c r="I2" s="222"/>
      <c r="J2" s="340"/>
      <c r="K2" s="341"/>
      <c r="L2" s="342"/>
      <c r="M2" s="343"/>
      <c r="N2" s="344"/>
      <c r="T2" s="225"/>
      <c r="Y2" s="226"/>
    </row>
    <row r="3" spans="1:28" ht="15" customHeight="1" x14ac:dyDescent="0.15">
      <c r="B3" s="78" t="s">
        <v>728</v>
      </c>
      <c r="C3" s="1080" t="str">
        <f>IF(CANOPY!C3="","",CANOPY!C3)</f>
        <v/>
      </c>
      <c r="D3" s="1080"/>
      <c r="F3" s="76" t="s">
        <v>75</v>
      </c>
      <c r="G3" s="1081" t="str">
        <f>IF(CANOPY!G3="","",CANOPY!G3)</f>
        <v/>
      </c>
      <c r="H3" s="1081"/>
      <c r="I3" s="1081"/>
      <c r="J3" s="1081"/>
      <c r="L3" s="342"/>
      <c r="M3" s="343"/>
      <c r="N3" s="344"/>
      <c r="T3" s="225"/>
    </row>
    <row r="4" spans="1:28" ht="15" customHeight="1" x14ac:dyDescent="0.15">
      <c r="B4" s="79"/>
      <c r="C4" s="223"/>
      <c r="D4" s="223"/>
      <c r="F4" s="77"/>
      <c r="G4" s="222"/>
      <c r="H4" s="227"/>
      <c r="I4" s="227"/>
      <c r="J4" s="341"/>
      <c r="L4" s="342"/>
      <c r="M4" s="343"/>
      <c r="N4" s="344"/>
      <c r="T4" s="225"/>
    </row>
    <row r="5" spans="1:28" ht="15" customHeight="1" x14ac:dyDescent="0.15">
      <c r="B5" s="78" t="s">
        <v>72</v>
      </c>
      <c r="C5" s="1080" t="str">
        <f>IF(CANOPY!C5="","",CANOPY!C5)</f>
        <v/>
      </c>
      <c r="D5" s="1080"/>
      <c r="F5" s="76" t="s">
        <v>74</v>
      </c>
      <c r="G5" s="1081" t="str">
        <f>IF(CANOPY!G5="","",CANOPY!G5)</f>
        <v/>
      </c>
      <c r="H5" s="1081"/>
      <c r="I5" s="1081"/>
      <c r="J5" s="1081"/>
      <c r="M5" s="343"/>
      <c r="N5" s="344"/>
      <c r="Q5" s="229"/>
      <c r="R5" s="229"/>
      <c r="T5" s="225"/>
      <c r="U5" s="226"/>
    </row>
    <row r="6" spans="1:28" ht="15" customHeight="1" x14ac:dyDescent="0.15">
      <c r="B6" s="78"/>
      <c r="C6" s="230"/>
      <c r="D6" s="230"/>
      <c r="F6" s="76"/>
      <c r="G6" s="222"/>
      <c r="H6" s="79"/>
      <c r="I6" s="79"/>
      <c r="J6" s="345"/>
      <c r="L6" s="342"/>
      <c r="M6" s="343"/>
      <c r="N6" s="344"/>
      <c r="Q6" s="229"/>
      <c r="R6" s="229"/>
      <c r="T6" s="225"/>
      <c r="U6" s="226"/>
      <c r="AA6" s="231"/>
    </row>
    <row r="7" spans="1:28" ht="15" customHeight="1" x14ac:dyDescent="0.15">
      <c r="B7" s="80" t="s">
        <v>729</v>
      </c>
      <c r="C7" s="1082"/>
      <c r="D7" s="1082"/>
      <c r="F7" s="76" t="s">
        <v>73</v>
      </c>
      <c r="G7" s="1083" t="str">
        <f>IF(CANOPY!G7="","",CANOPY!G7)</f>
        <v/>
      </c>
      <c r="H7" s="1083"/>
      <c r="I7" s="1083"/>
      <c r="J7" s="1083"/>
      <c r="N7" s="347" t="s">
        <v>76</v>
      </c>
      <c r="O7" s="575"/>
      <c r="P7" s="232"/>
      <c r="R7" s="224"/>
      <c r="T7" s="225"/>
      <c r="U7" s="226"/>
      <c r="AA7" s="231"/>
    </row>
    <row r="8" spans="1:28" ht="15" customHeight="1" x14ac:dyDescent="0.15">
      <c r="D8" s="219"/>
      <c r="E8" s="219"/>
      <c r="G8" s="219"/>
      <c r="J8" s="346"/>
      <c r="K8" s="14"/>
      <c r="T8" s="225"/>
      <c r="AA8" s="231"/>
    </row>
    <row r="9" spans="1:28" s="80" customFormat="1" ht="15" customHeight="1" x14ac:dyDescent="0.15">
      <c r="A9" s="215"/>
      <c r="B9" s="38" t="s">
        <v>348</v>
      </c>
      <c r="C9" s="373">
        <v>0</v>
      </c>
      <c r="D9" s="377">
        <f>IF(C9=0,0,(SUBTOTAL(9,M14:M27)/(1-C9))-M9)</f>
        <v>0</v>
      </c>
      <c r="H9" s="234"/>
      <c r="Q9" s="217"/>
      <c r="R9" s="217"/>
      <c r="S9" s="217"/>
      <c r="T9" s="217"/>
      <c r="U9" s="217"/>
      <c r="V9" s="217"/>
      <c r="Z9" s="217"/>
      <c r="AA9" s="217"/>
      <c r="AB9" s="217"/>
    </row>
    <row r="10" spans="1:28" s="80" customFormat="1" ht="15" customHeight="1" x14ac:dyDescent="0.15">
      <c r="A10" s="215"/>
      <c r="B10" s="6" t="s">
        <v>348</v>
      </c>
      <c r="C10" s="6" t="s">
        <v>537</v>
      </c>
      <c r="D10" s="6" t="s">
        <v>536</v>
      </c>
      <c r="E10" s="6"/>
      <c r="F10" s="6"/>
      <c r="G10" s="6"/>
      <c r="H10" s="6"/>
      <c r="I10" s="37"/>
      <c r="J10" s="1"/>
      <c r="K10" s="2" t="s">
        <v>34</v>
      </c>
      <c r="L10" s="3" t="s">
        <v>141</v>
      </c>
      <c r="M10" s="4" t="s">
        <v>127</v>
      </c>
      <c r="N10" s="1" t="s">
        <v>205</v>
      </c>
      <c r="O10" s="5" t="s">
        <v>206</v>
      </c>
      <c r="P10" s="217"/>
      <c r="Q10" s="217"/>
      <c r="R10" s="217"/>
      <c r="S10" s="217"/>
      <c r="T10" s="217"/>
      <c r="U10" s="235"/>
      <c r="V10" s="217"/>
      <c r="Z10" s="217"/>
      <c r="AA10" s="217"/>
      <c r="AB10" s="217"/>
    </row>
    <row r="11" spans="1:28" s="80" customFormat="1" ht="15" customHeight="1" x14ac:dyDescent="0.15">
      <c r="A11" s="215"/>
      <c r="B11" s="9"/>
      <c r="C11" s="9"/>
      <c r="D11" s="9"/>
      <c r="E11" s="9"/>
      <c r="F11" s="9"/>
      <c r="G11" s="34" t="s">
        <v>347</v>
      </c>
      <c r="H11" s="9"/>
      <c r="I11" s="34">
        <f>IF(ISNUMBER(SEARCH("UV",D14)),49.7,71.75)</f>
        <v>71.75</v>
      </c>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41"/>
      <c r="C12" s="241"/>
      <c r="D12" s="241"/>
      <c r="E12" s="241"/>
      <c r="F12" s="241"/>
      <c r="G12" s="241"/>
      <c r="H12" s="241"/>
      <c r="I12" s="241"/>
      <c r="J12" s="241"/>
      <c r="K12" s="154">
        <f>SUBTOTAL(9,K14:K26)</f>
        <v>0</v>
      </c>
      <c r="L12" s="15" t="str">
        <f>IF(O12=0,"-",O12/M12)</f>
        <v>-</v>
      </c>
      <c r="M12" s="154">
        <f>SUBTOTAL(9,M14:M26)</f>
        <v>0</v>
      </c>
      <c r="N12" s="464">
        <f>SUM(N14:N26)</f>
        <v>0</v>
      </c>
      <c r="O12" s="154">
        <f>SUM(O14:O26)</f>
        <v>0</v>
      </c>
      <c r="P12" s="217"/>
      <c r="Q12" s="217"/>
      <c r="R12" s="217"/>
      <c r="S12" s="217"/>
      <c r="T12" s="217"/>
      <c r="U12" s="235"/>
      <c r="V12" s="217"/>
      <c r="Z12" s="217"/>
      <c r="AA12" s="217"/>
      <c r="AB12" s="217"/>
    </row>
    <row r="13" spans="1:28" ht="15" customHeight="1" x14ac:dyDescent="0.15">
      <c r="B13" s="7"/>
      <c r="C13" s="7"/>
      <c r="D13" s="7"/>
      <c r="E13" s="7"/>
      <c r="F13" s="7"/>
      <c r="G13" s="7"/>
      <c r="H13" s="7"/>
      <c r="I13" s="7"/>
      <c r="J13" s="7"/>
      <c r="K13" s="350"/>
      <c r="L13" s="350"/>
      <c r="M13" s="351"/>
      <c r="N13" s="352"/>
      <c r="O13" s="5"/>
      <c r="U13" s="229"/>
      <c r="AA13" s="217"/>
    </row>
    <row r="14" spans="1:28" ht="15" customHeight="1" x14ac:dyDescent="0.15">
      <c r="B14" s="28" t="s">
        <v>693</v>
      </c>
      <c r="C14" s="28"/>
      <c r="D14" s="28"/>
      <c r="E14" s="28"/>
      <c r="F14" s="28"/>
      <c r="G14" s="28"/>
      <c r="H14" s="28"/>
      <c r="I14" s="28"/>
      <c r="J14" s="28"/>
      <c r="K14" s="378"/>
      <c r="L14" s="392"/>
      <c r="M14" s="311"/>
      <c r="N14" s="378"/>
      <c r="O14" s="379"/>
      <c r="R14" s="977" t="s">
        <v>1400</v>
      </c>
      <c r="S14" s="977" t="s">
        <v>1401</v>
      </c>
      <c r="T14" s="977" t="s">
        <v>127</v>
      </c>
      <c r="U14" s="978" t="s">
        <v>141</v>
      </c>
      <c r="AA14" s="217"/>
    </row>
    <row r="15" spans="1:28" ht="15" customHeight="1" x14ac:dyDescent="0.15">
      <c r="B15" s="28" t="s">
        <v>692</v>
      </c>
      <c r="C15" s="28"/>
      <c r="D15" s="28"/>
      <c r="E15" s="28"/>
      <c r="F15" s="28"/>
      <c r="G15" s="28"/>
      <c r="H15" s="28"/>
      <c r="I15" s="28"/>
      <c r="J15" s="28"/>
      <c r="K15" s="378"/>
      <c r="L15" s="392"/>
      <c r="M15" s="311"/>
      <c r="N15" s="378"/>
      <c r="O15" s="378"/>
      <c r="S15" s="979"/>
      <c r="T15" s="979"/>
      <c r="U15" s="980"/>
      <c r="AA15" s="217"/>
    </row>
    <row r="16" spans="1:28" ht="15" customHeight="1" x14ac:dyDescent="0.15">
      <c r="B16" s="28" t="s">
        <v>694</v>
      </c>
      <c r="C16" s="28"/>
      <c r="D16" s="28"/>
      <c r="E16" s="28"/>
      <c r="F16" s="28"/>
      <c r="G16" s="28"/>
      <c r="H16" s="28"/>
      <c r="I16" s="28"/>
      <c r="J16" s="28"/>
      <c r="K16" s="378"/>
      <c r="L16" s="392"/>
      <c r="M16" s="311"/>
      <c r="N16" s="378"/>
      <c r="O16" s="379"/>
      <c r="R16" s="217" t="s">
        <v>1402</v>
      </c>
      <c r="S16" s="979">
        <f>SUM(CANOPY!K9)</f>
        <v>344.79</v>
      </c>
      <c r="T16" s="979">
        <f>SUM(CANOPY!N9)</f>
        <v>516.51759834368534</v>
      </c>
      <c r="U16" s="980">
        <f>(T16-S16)/T16</f>
        <v>0.33247192137182435</v>
      </c>
      <c r="AA16" s="217"/>
    </row>
    <row r="17" spans="2:27" ht="15" customHeight="1" x14ac:dyDescent="0.15">
      <c r="B17" s="28" t="s">
        <v>124</v>
      </c>
      <c r="C17" s="28"/>
      <c r="D17" s="28"/>
      <c r="E17" s="28"/>
      <c r="F17" s="28"/>
      <c r="G17" s="28"/>
      <c r="H17" s="28"/>
      <c r="I17" s="28"/>
      <c r="J17" s="28"/>
      <c r="K17" s="378"/>
      <c r="L17" s="392"/>
      <c r="M17" s="311"/>
      <c r="N17" s="378"/>
      <c r="O17" s="379"/>
      <c r="R17" s="217" t="s">
        <v>1403</v>
      </c>
      <c r="S17" s="979">
        <f>SUM('FIRE SUPPRESSION'!K9)</f>
        <v>1027.2</v>
      </c>
      <c r="T17" s="979">
        <f>SUM('FIRE SUPPRESSION'!N9)</f>
        <v>1689.8507462686568</v>
      </c>
      <c r="U17" s="980">
        <f>(T17-S17)/T17</f>
        <v>0.39213566507684156</v>
      </c>
      <c r="AA17" s="217"/>
    </row>
    <row r="18" spans="2:27" ht="15" customHeight="1" x14ac:dyDescent="0.15">
      <c r="B18" s="28" t="s">
        <v>695</v>
      </c>
      <c r="C18" s="28"/>
      <c r="D18" s="28"/>
      <c r="E18" s="28"/>
      <c r="F18" s="28"/>
      <c r="G18" s="28"/>
      <c r="H18" s="28"/>
      <c r="I18" s="28"/>
      <c r="J18" s="28"/>
      <c r="K18" s="378"/>
      <c r="L18" s="392"/>
      <c r="M18" s="311"/>
      <c r="N18" s="378"/>
      <c r="O18" s="379"/>
      <c r="R18" s="217" t="s">
        <v>125</v>
      </c>
      <c r="S18" s="979">
        <f>SUM(SDU!G10)</f>
        <v>1488</v>
      </c>
      <c r="T18" s="979">
        <f>SUM(SDU!J10)</f>
        <v>2485.9523809523807</v>
      </c>
      <c r="U18" s="980">
        <f t="shared" ref="U18:U25" si="0">(T18-S18)/T18</f>
        <v>0.40143664399961682</v>
      </c>
      <c r="AA18" s="217"/>
    </row>
    <row r="19" spans="2:27" ht="15" customHeight="1" x14ac:dyDescent="0.15">
      <c r="B19" s="28" t="s">
        <v>696</v>
      </c>
      <c r="C19" s="28"/>
      <c r="D19" s="28"/>
      <c r="E19" s="28"/>
      <c r="F19" s="28"/>
      <c r="G19" s="28"/>
      <c r="H19" s="28"/>
      <c r="I19" s="28"/>
      <c r="J19" s="28"/>
      <c r="K19" s="378"/>
      <c r="L19" s="392"/>
      <c r="M19" s="311"/>
      <c r="N19" s="378"/>
      <c r="O19" s="379"/>
      <c r="R19" s="217" t="s">
        <v>1420</v>
      </c>
      <c r="S19" s="224">
        <f>SUM('VENT CLG'!G10)</f>
        <v>615</v>
      </c>
      <c r="T19" s="224">
        <f>SUM('VENT CLG'!J10)</f>
        <v>1025.5952380952381</v>
      </c>
      <c r="U19" s="980">
        <f t="shared" si="0"/>
        <v>0.40034822983168888</v>
      </c>
      <c r="AA19" s="217"/>
    </row>
    <row r="20" spans="2:27" ht="15" customHeight="1" x14ac:dyDescent="0.15">
      <c r="B20" s="28" t="s">
        <v>697</v>
      </c>
      <c r="C20" s="28"/>
      <c r="D20" s="28"/>
      <c r="E20" s="28"/>
      <c r="F20" s="28"/>
      <c r="G20" s="28"/>
      <c r="H20" s="28"/>
      <c r="I20" s="28"/>
      <c r="J20" s="28"/>
      <c r="K20" s="378"/>
      <c r="L20" s="392"/>
      <c r="M20" s="311"/>
      <c r="N20" s="378"/>
      <c r="O20" s="379"/>
      <c r="R20" s="217" t="s">
        <v>123</v>
      </c>
      <c r="S20" s="979">
        <f>SUM(MARVEL!G9)</f>
        <v>1258</v>
      </c>
      <c r="T20" s="979">
        <f>SUM(MARVEL!J9)</f>
        <v>1892.27078891258</v>
      </c>
      <c r="U20" s="980">
        <f t="shared" si="0"/>
        <v>0.33519028705033943</v>
      </c>
      <c r="AA20" s="217"/>
    </row>
    <row r="21" spans="2:27" ht="15" customHeight="1" x14ac:dyDescent="0.15">
      <c r="B21" s="28" t="s">
        <v>46</v>
      </c>
      <c r="C21" s="28"/>
      <c r="D21" s="28"/>
      <c r="E21" s="28"/>
      <c r="F21" s="28"/>
      <c r="G21" s="28"/>
      <c r="H21" s="28"/>
      <c r="I21" s="28"/>
      <c r="J21" s="28"/>
      <c r="K21" s="378"/>
      <c r="L21" s="392"/>
      <c r="M21" s="311"/>
      <c r="N21" s="378"/>
      <c r="O21" s="379"/>
      <c r="R21" s="217" t="s">
        <v>1421</v>
      </c>
      <c r="S21" s="979">
        <f>SUM('EDGE BOX'!K9)</f>
        <v>167.5</v>
      </c>
      <c r="T21" s="979">
        <f>SUM('EDGE BOX'!N9)</f>
        <v>276.55472636815921</v>
      </c>
      <c r="U21" s="980">
        <f t="shared" si="0"/>
        <v>0.39433325837643357</v>
      </c>
      <c r="AA21" s="217"/>
    </row>
    <row r="22" spans="2:27" ht="15" customHeight="1" x14ac:dyDescent="0.15">
      <c r="B22" s="28" t="s">
        <v>698</v>
      </c>
      <c r="C22" s="28"/>
      <c r="D22" s="28"/>
      <c r="E22" s="28"/>
      <c r="F22" s="28"/>
      <c r="G22" s="28"/>
      <c r="H22" s="28"/>
      <c r="I22" s="28"/>
      <c r="J22" s="28"/>
      <c r="K22" s="378"/>
      <c r="L22" s="392"/>
      <c r="M22" s="311"/>
      <c r="N22" s="378"/>
      <c r="O22" s="379"/>
      <c r="R22" s="217" t="s">
        <v>1422</v>
      </c>
      <c r="S22" s="979">
        <f>SUM(AEROLYS!H9)</f>
        <v>1418</v>
      </c>
      <c r="T22" s="979">
        <f>SUM(AEROLYS!K9)</f>
        <v>2131.0767590618339</v>
      </c>
      <c r="U22" s="980">
        <f t="shared" si="0"/>
        <v>0.33460866955151458</v>
      </c>
      <c r="AA22" s="217"/>
    </row>
    <row r="23" spans="2:27" ht="15" customHeight="1" x14ac:dyDescent="0.15">
      <c r="B23" s="28" t="s">
        <v>698</v>
      </c>
      <c r="C23" s="28"/>
      <c r="D23" s="28"/>
      <c r="E23" s="28"/>
      <c r="F23" s="28"/>
      <c r="G23" s="28"/>
      <c r="H23" s="28"/>
      <c r="I23" s="28"/>
      <c r="J23" s="28"/>
      <c r="K23" s="378"/>
      <c r="L23" s="392"/>
      <c r="M23" s="311"/>
      <c r="N23" s="378"/>
      <c r="O23" s="379"/>
      <c r="R23" s="217" t="s">
        <v>1423</v>
      </c>
      <c r="S23" s="979">
        <f>SUM(POLLUSTOP!H9)</f>
        <v>1368</v>
      </c>
      <c r="T23" s="979">
        <f>SUM(POLLUSTOP!K9)</f>
        <v>2041.7910447761196</v>
      </c>
      <c r="U23" s="980">
        <f t="shared" si="0"/>
        <v>0.33000000000000007</v>
      </c>
      <c r="AA23" s="217"/>
    </row>
    <row r="24" spans="2:27" ht="15" customHeight="1" x14ac:dyDescent="0.15">
      <c r="B24" s="28" t="s">
        <v>698</v>
      </c>
      <c r="C24" s="28"/>
      <c r="D24" s="28"/>
      <c r="E24" s="28"/>
      <c r="F24" s="28"/>
      <c r="G24" s="28"/>
      <c r="H24" s="28"/>
      <c r="I24" s="28"/>
      <c r="J24" s="28"/>
      <c r="K24" s="378"/>
      <c r="L24" s="392"/>
      <c r="M24" s="311"/>
      <c r="N24" s="378"/>
      <c r="O24" s="379"/>
      <c r="R24" s="217" t="s">
        <v>1424</v>
      </c>
      <c r="S24" s="979">
        <f>SUM(RECOAIR!K9)</f>
        <v>50</v>
      </c>
      <c r="T24" s="979">
        <f>SUM(RECOAIR!N9)</f>
        <v>89.285714285714278</v>
      </c>
      <c r="U24" s="980">
        <f t="shared" si="0"/>
        <v>0.43999999999999995</v>
      </c>
      <c r="AA24" s="217"/>
    </row>
    <row r="25" spans="2:27" ht="15" customHeight="1" x14ac:dyDescent="0.15">
      <c r="B25" s="28" t="s">
        <v>698</v>
      </c>
      <c r="C25" s="28"/>
      <c r="D25" s="28"/>
      <c r="E25" s="28"/>
      <c r="F25" s="28"/>
      <c r="G25" s="28"/>
      <c r="H25" s="28"/>
      <c r="I25" s="28"/>
      <c r="J25" s="28"/>
      <c r="K25" s="378"/>
      <c r="L25" s="392"/>
      <c r="M25" s="311"/>
      <c r="N25" s="378"/>
      <c r="O25" s="379"/>
      <c r="R25" s="217" t="s">
        <v>1425</v>
      </c>
      <c r="S25" s="979">
        <f>SUM('REACTAWAY '!K9)</f>
        <v>50</v>
      </c>
      <c r="T25" s="979">
        <f>SUM('REACTAWAY '!N9)</f>
        <v>89.285714285714278</v>
      </c>
      <c r="U25" s="980">
        <f t="shared" si="0"/>
        <v>0.43999999999999995</v>
      </c>
      <c r="AA25" s="217"/>
    </row>
    <row r="26" spans="2:27" ht="15" customHeight="1" x14ac:dyDescent="0.15">
      <c r="B26" s="28" t="s">
        <v>698</v>
      </c>
      <c r="C26" s="28"/>
      <c r="D26" s="28"/>
      <c r="E26" s="28"/>
      <c r="F26" s="28"/>
      <c r="G26" s="28"/>
      <c r="H26" s="28"/>
      <c r="I26" s="28"/>
      <c r="J26" s="28"/>
      <c r="K26" s="378"/>
      <c r="L26" s="392"/>
      <c r="M26" s="311"/>
      <c r="N26" s="378"/>
      <c r="O26" s="379"/>
      <c r="U26" s="980"/>
      <c r="AA26" s="217"/>
    </row>
    <row r="27" spans="2:27" ht="15" customHeight="1" x14ac:dyDescent="0.15">
      <c r="G27" s="34" t="s">
        <v>347</v>
      </c>
      <c r="I27" s="34">
        <f>IF(ISNUMBER(SEARCH("UV",#REF!)),49.7,71.75)</f>
        <v>71.75</v>
      </c>
      <c r="U27" s="980"/>
    </row>
    <row r="28" spans="2:27" ht="15" customHeight="1" x14ac:dyDescent="0.15">
      <c r="B28" s="239"/>
      <c r="C28" s="239"/>
      <c r="D28" s="239"/>
      <c r="E28" s="239"/>
      <c r="F28" s="239"/>
      <c r="G28" s="243"/>
      <c r="H28" s="244"/>
      <c r="I28" s="244"/>
      <c r="J28" s="354"/>
      <c r="K28" s="353"/>
      <c r="L28" s="355"/>
      <c r="M28" s="353"/>
      <c r="N28" s="353"/>
      <c r="R28" s="217" t="s">
        <v>87</v>
      </c>
      <c r="S28" s="979">
        <f>SUM(S16:S27)</f>
        <v>7786.49</v>
      </c>
      <c r="T28" s="979">
        <f>SUM(T16:T27)</f>
        <v>12238.18071135008</v>
      </c>
      <c r="U28" s="980">
        <f t="shared" ref="U28" si="1">(T28-S28)/T28</f>
        <v>0.36375428802268295</v>
      </c>
    </row>
    <row r="29" spans="2:27" ht="15" customHeight="1" x14ac:dyDescent="0.2">
      <c r="B29" s="197" t="s">
        <v>121</v>
      </c>
      <c r="C29" s="198"/>
      <c r="D29" s="199"/>
      <c r="E29" s="199"/>
      <c r="F29" s="198"/>
      <c r="G29" s="200"/>
      <c r="H29" s="198"/>
      <c r="I29" s="198"/>
      <c r="J29" s="198"/>
      <c r="K29" s="198"/>
      <c r="L29" s="198"/>
      <c r="M29" s="198"/>
      <c r="N29" s="198"/>
      <c r="O29" s="198"/>
      <c r="U29" s="229"/>
    </row>
    <row r="30" spans="2:27" ht="15" customHeight="1" x14ac:dyDescent="0.2">
      <c r="B30" s="202"/>
      <c r="C30" s="203"/>
      <c r="D30" s="202"/>
      <c r="E30" s="204"/>
      <c r="F30" s="202"/>
      <c r="G30" s="209"/>
      <c r="H30" s="203"/>
      <c r="I30" s="203"/>
      <c r="J30" s="203"/>
      <c r="K30" s="205"/>
      <c r="L30" s="205"/>
      <c r="M30" s="205"/>
      <c r="N30" s="205"/>
      <c r="O30" s="205"/>
      <c r="U30" s="229"/>
    </row>
    <row r="31" spans="2:27" ht="15" customHeight="1" x14ac:dyDescent="0.2">
      <c r="B31" s="202"/>
      <c r="C31" s="203"/>
      <c r="D31" s="202"/>
      <c r="E31" s="204"/>
      <c r="F31" s="202"/>
      <c r="G31" s="209"/>
      <c r="H31" s="203"/>
      <c r="I31" s="203"/>
      <c r="J31" s="203"/>
      <c r="K31" s="205"/>
      <c r="L31" s="205"/>
      <c r="M31" s="205"/>
      <c r="N31" s="205"/>
      <c r="O31" s="205"/>
      <c r="U31" s="229"/>
    </row>
    <row r="32" spans="2:27" ht="15" customHeight="1" x14ac:dyDescent="0.2">
      <c r="B32" s="202"/>
      <c r="C32" s="203"/>
      <c r="D32" s="202"/>
      <c r="E32" s="204"/>
      <c r="F32" s="202"/>
      <c r="G32" s="209"/>
      <c r="H32" s="203"/>
      <c r="I32" s="203"/>
      <c r="J32" s="203"/>
      <c r="K32" s="209"/>
      <c r="L32" s="209"/>
      <c r="M32" s="209"/>
      <c r="N32" s="209"/>
      <c r="O32" s="209"/>
      <c r="U32" s="229"/>
    </row>
    <row r="33" spans="2:21" ht="15" customHeight="1" x14ac:dyDescent="0.2">
      <c r="B33" s="202"/>
      <c r="C33" s="203"/>
      <c r="D33" s="202"/>
      <c r="E33" s="204"/>
      <c r="F33" s="202"/>
      <c r="G33" s="209"/>
      <c r="H33" s="206"/>
      <c r="I33" s="203"/>
      <c r="J33" s="203"/>
      <c r="K33" s="209"/>
      <c r="L33" s="209"/>
      <c r="M33" s="209"/>
      <c r="N33" s="209"/>
      <c r="O33" s="209"/>
      <c r="U33" s="229"/>
    </row>
    <row r="34" spans="2:21" ht="15" customHeight="1" x14ac:dyDescent="0.2">
      <c r="B34" s="202"/>
      <c r="C34" s="203"/>
      <c r="D34" s="202"/>
      <c r="E34" s="202"/>
      <c r="F34" s="202"/>
      <c r="G34" s="207"/>
      <c r="H34" s="209"/>
      <c r="I34" s="203"/>
      <c r="J34" s="203"/>
      <c r="K34" s="205"/>
      <c r="L34" s="205"/>
      <c r="M34" s="205"/>
      <c r="N34" s="205"/>
      <c r="O34" s="205"/>
      <c r="U34" s="229"/>
    </row>
    <row r="35" spans="2:21" ht="15" customHeight="1" x14ac:dyDescent="0.2">
      <c r="B35" s="202"/>
      <c r="C35" s="202"/>
      <c r="D35" s="202"/>
      <c r="E35" s="202"/>
      <c r="F35" s="202"/>
      <c r="G35" s="207"/>
      <c r="H35" s="209"/>
      <c r="I35" s="203"/>
      <c r="J35" s="203"/>
      <c r="K35" s="205"/>
      <c r="L35" s="205"/>
      <c r="M35" s="205"/>
      <c r="N35" s="205"/>
      <c r="O35" s="205"/>
      <c r="U35" s="229"/>
    </row>
    <row r="36" spans="2:21" ht="15" customHeight="1" x14ac:dyDescent="0.15">
      <c r="J36" s="228"/>
      <c r="M36" s="228"/>
      <c r="O36" s="228"/>
      <c r="U36" s="229"/>
    </row>
    <row r="37" spans="2:21" ht="15" customHeight="1" x14ac:dyDescent="0.15">
      <c r="J37" s="228"/>
      <c r="M37" s="228"/>
      <c r="O37" s="228"/>
      <c r="U37" s="229"/>
    </row>
    <row r="38" spans="2:21" ht="15" customHeight="1" x14ac:dyDescent="0.15">
      <c r="G38" s="219"/>
      <c r="U38" s="229"/>
    </row>
    <row r="39" spans="2:21" ht="15" customHeight="1" x14ac:dyDescent="0.15">
      <c r="G39" s="219"/>
      <c r="U39" s="229"/>
    </row>
    <row r="40" spans="2:21" ht="15" customHeight="1" x14ac:dyDescent="0.15">
      <c r="G40" s="219"/>
      <c r="U40" s="229"/>
    </row>
    <row r="41" spans="2:21" ht="15" customHeight="1" x14ac:dyDescent="0.15">
      <c r="G41" s="219"/>
      <c r="U41" s="229"/>
    </row>
    <row r="42" spans="2:21" ht="15" customHeight="1" x14ac:dyDescent="0.15">
      <c r="G42" s="219"/>
      <c r="U42" s="229"/>
    </row>
    <row r="43" spans="2:21" ht="15" customHeight="1" x14ac:dyDescent="0.15">
      <c r="G43" s="219"/>
      <c r="U43" s="229"/>
    </row>
    <row r="44" spans="2:21" ht="15" customHeight="1" x14ac:dyDescent="0.15">
      <c r="G44" s="219"/>
      <c r="U44" s="229"/>
    </row>
    <row r="45" spans="2:21" ht="15" customHeight="1" x14ac:dyDescent="0.15">
      <c r="G45" s="219"/>
      <c r="U45" s="229"/>
    </row>
    <row r="46" spans="2:21" ht="15" customHeight="1" x14ac:dyDescent="0.15">
      <c r="G46" s="219"/>
      <c r="U46" s="229"/>
    </row>
    <row r="47" spans="2:21" ht="15" customHeight="1" x14ac:dyDescent="0.15">
      <c r="B47" s="245"/>
      <c r="C47" s="245"/>
      <c r="D47" s="245"/>
      <c r="E47" s="245"/>
      <c r="F47" s="245"/>
      <c r="G47" s="245"/>
      <c r="U47" s="229"/>
    </row>
    <row r="48" spans="2:21" ht="15" customHeight="1" x14ac:dyDescent="0.15">
      <c r="U48" s="229"/>
    </row>
    <row r="49" spans="21:21" ht="15" customHeight="1" x14ac:dyDescent="0.15">
      <c r="U49" s="229"/>
    </row>
    <row r="50" spans="21:21" ht="15" customHeight="1" x14ac:dyDescent="0.15">
      <c r="U50" s="229"/>
    </row>
    <row r="51" spans="21:21" ht="15" customHeight="1" x14ac:dyDescent="0.15">
      <c r="U51" s="229"/>
    </row>
    <row r="52" spans="21:21" ht="15" customHeight="1" x14ac:dyDescent="0.15">
      <c r="U52" s="229"/>
    </row>
    <row r="53" spans="21:21" ht="15" customHeight="1" x14ac:dyDescent="0.15">
      <c r="U53" s="229"/>
    </row>
    <row r="54" spans="21:21" ht="15" customHeight="1" x14ac:dyDescent="0.15">
      <c r="U54" s="229"/>
    </row>
    <row r="55" spans="21:21" ht="15" customHeight="1" x14ac:dyDescent="0.15">
      <c r="U55" s="229"/>
    </row>
    <row r="56" spans="21:21" ht="15" customHeight="1" x14ac:dyDescent="0.15">
      <c r="U56" s="229"/>
    </row>
    <row r="57" spans="21:21" ht="15" customHeight="1" x14ac:dyDescent="0.15">
      <c r="U57" s="229"/>
    </row>
    <row r="58" spans="21:21" ht="15" customHeight="1" x14ac:dyDescent="0.15">
      <c r="U58" s="229"/>
    </row>
    <row r="59" spans="21:21" ht="15" customHeight="1" x14ac:dyDescent="0.15">
      <c r="U59" s="229"/>
    </row>
    <row r="60" spans="21:21" ht="15" customHeight="1" x14ac:dyDescent="0.15">
      <c r="U60" s="229"/>
    </row>
    <row r="61" spans="21:21" ht="15" customHeight="1" x14ac:dyDescent="0.15">
      <c r="U61" s="229"/>
    </row>
    <row r="62" spans="21:21" ht="15" customHeight="1" x14ac:dyDescent="0.15">
      <c r="U62" s="229"/>
    </row>
    <row r="63" spans="21:21" ht="15" customHeight="1" x14ac:dyDescent="0.15">
      <c r="U63" s="229"/>
    </row>
    <row r="64" spans="21:21" ht="15" customHeight="1" x14ac:dyDescent="0.15">
      <c r="U64" s="229"/>
    </row>
    <row r="65" spans="21:21" ht="15" customHeight="1" x14ac:dyDescent="0.15">
      <c r="U65" s="229"/>
    </row>
    <row r="66" spans="21:21" ht="15" customHeight="1" x14ac:dyDescent="0.15">
      <c r="U66" s="229"/>
    </row>
    <row r="67" spans="21:21" ht="15" customHeight="1" x14ac:dyDescent="0.15">
      <c r="U67" s="229"/>
    </row>
    <row r="68" spans="21:21" ht="15" customHeight="1" x14ac:dyDescent="0.15">
      <c r="U68" s="229"/>
    </row>
    <row r="69" spans="21:21" ht="15" customHeight="1" x14ac:dyDescent="0.15">
      <c r="U69" s="229"/>
    </row>
    <row r="70" spans="21:21" ht="15" customHeight="1" x14ac:dyDescent="0.15">
      <c r="U70" s="229"/>
    </row>
    <row r="71" spans="21:21" ht="15" customHeight="1" x14ac:dyDescent="0.15">
      <c r="U71" s="229"/>
    </row>
    <row r="72" spans="21:21" ht="15" customHeight="1" x14ac:dyDescent="0.15">
      <c r="U72" s="229"/>
    </row>
    <row r="73" spans="21:21" ht="15" customHeight="1" x14ac:dyDescent="0.15">
      <c r="U73" s="229"/>
    </row>
    <row r="74" spans="21:21" ht="15" customHeight="1" x14ac:dyDescent="0.15">
      <c r="U74" s="229"/>
    </row>
    <row r="75" spans="21:21" ht="15" customHeight="1" x14ac:dyDescent="0.15">
      <c r="U75" s="229"/>
    </row>
    <row r="76" spans="21:21" ht="15" customHeight="1" x14ac:dyDescent="0.15">
      <c r="U76" s="229"/>
    </row>
    <row r="77" spans="21:21" ht="15" customHeight="1" x14ac:dyDescent="0.15">
      <c r="U77" s="229"/>
    </row>
    <row r="78" spans="21:21" ht="15" customHeight="1" x14ac:dyDescent="0.15">
      <c r="U78" s="229"/>
    </row>
    <row r="79" spans="21:21" ht="15" customHeight="1" x14ac:dyDescent="0.15">
      <c r="U79" s="229"/>
    </row>
    <row r="80" spans="21: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sheetData>
  <protectedRanges>
    <protectedRange sqref="P7 H4:J7 R7 H8:K8 O10:O11 O28" name="Estimating" securityDescriptor="O:WDG:WDD:(A;;CC;;;S-1-5-21-1993962763-879983540-839522115-1221)"/>
    <protectedRange sqref="F2:G7 C2:D7 B2:B6 C8:G8 N7:O7" name="Estimating_1" securityDescriptor="O:WDG:WDD:(A;;CC;;;S-1-5-21-1993962763-879983540-839522115-1221)"/>
    <protectedRange sqref="D9" name="Estimating_1_1" securityDescriptor="O:WDG:WDD:(A;;CC;;;S-1-5-21-1993962763-879983540-839522115-1221)"/>
    <protectedRange sqref="F30:F35 B30:B34 K35:O35" name="Full" securityDescriptor="O:WDG:WDD:(A;;CC;;;S-1-5-21-1993962763-879983540-839522115-1156)"/>
    <protectedRange sqref="B35:C35" name="Full_2" securityDescriptor="O:WDG:WDD:(A;;CC;;;S-1-5-21-1993962763-879983540-839522115-1156)"/>
    <protectedRange sqref="B12:J13 O14 O16:O26" name="Estimating_5" securityDescriptor="O:WDG:WDD:(A;;CC;;;S-1-5-21-1993962763-879983540-839522115-1221)"/>
  </protectedRanges>
  <mergeCells count="6">
    <mergeCell ref="C3:D3"/>
    <mergeCell ref="G3:J3"/>
    <mergeCell ref="C5:D5"/>
    <mergeCell ref="G5:J5"/>
    <mergeCell ref="C7:D7"/>
    <mergeCell ref="G7:J7"/>
  </mergeCells>
  <conditionalFormatting sqref="B9">
    <cfRule type="expression" dxfId="1934" priority="480">
      <formula>B9="CURRENCY"</formula>
    </cfRule>
    <cfRule type="containsText" dxfId="1933" priority="479" operator="containsText" text="SELECT">
      <formula>NOT(ISERROR(SEARCH("SELECT",B9)))</formula>
    </cfRule>
  </conditionalFormatting>
  <conditionalFormatting sqref="C9:D9">
    <cfRule type="cellIs" dxfId="1932" priority="476" operator="greaterThan">
      <formula>0</formula>
    </cfRule>
    <cfRule type="cellIs" dxfId="1931" priority="475" operator="lessThan">
      <formula>0</formula>
    </cfRule>
  </conditionalFormatting>
  <conditionalFormatting sqref="G11">
    <cfRule type="expression" dxfId="1930" priority="483">
      <formula>((F14-50)/H14)&lt;950</formula>
    </cfRule>
  </conditionalFormatting>
  <conditionalFormatting sqref="G27">
    <cfRule type="expression" dxfId="1929" priority="833">
      <formula>((#REF!-50)/#REF!)&lt;950</formula>
    </cfRule>
  </conditionalFormatting>
  <conditionalFormatting sqref="J29:J35">
    <cfRule type="expression" dxfId="1928" priority="468">
      <formula>#REF!="EURO"</formula>
    </cfRule>
  </conditionalFormatting>
  <conditionalFormatting sqref="K14:K26">
    <cfRule type="cellIs" dxfId="1927" priority="379" operator="greaterThan">
      <formula>0</formula>
    </cfRule>
  </conditionalFormatting>
  <conditionalFormatting sqref="K29:K35">
    <cfRule type="expression" dxfId="1926" priority="465">
      <formula>$B$9="CZK"</formula>
    </cfRule>
    <cfRule type="expression" dxfId="1925" priority="467">
      <formula>$B$9="EURO"</formula>
    </cfRule>
    <cfRule type="expression" dxfId="1924" priority="466">
      <formula>$B$9="USD"</formula>
    </cfRule>
    <cfRule type="expression" dxfId="1923" priority="464">
      <formula>$B$9="PLN"</formula>
    </cfRule>
  </conditionalFormatting>
  <conditionalFormatting sqref="L14:L26">
    <cfRule type="expression" dxfId="1922" priority="382">
      <formula>$C$9&lt;0</formula>
    </cfRule>
    <cfRule type="expression" dxfId="1921" priority="383">
      <formula>$C$9&gt;0</formula>
    </cfRule>
  </conditionalFormatting>
  <conditionalFormatting sqref="N12">
    <cfRule type="expression" dxfId="1920" priority="454">
      <formula>$B$9="EURO"</formula>
    </cfRule>
    <cfRule type="expression" dxfId="1919" priority="453">
      <formula>$B$9="USD"</formula>
    </cfRule>
    <cfRule type="expression" dxfId="1918" priority="452">
      <formula>$B$9="CZK"</formula>
    </cfRule>
    <cfRule type="expression" dxfId="1917" priority="451">
      <formula>$B$9="PLN"</formula>
    </cfRule>
  </conditionalFormatting>
  <conditionalFormatting sqref="N14:N26 N15:O15">
    <cfRule type="expression" dxfId="1916" priority="41">
      <formula>$B$9="CZK"</formula>
    </cfRule>
    <cfRule type="expression" dxfId="1915" priority="40">
      <formula>$B$9="PLN"</formula>
    </cfRule>
    <cfRule type="expression" dxfId="1914" priority="39">
      <formula>$B$9="USD"</formula>
    </cfRule>
    <cfRule type="expression" dxfId="1913" priority="38">
      <formula>$B$9="EURO"</formula>
    </cfRule>
    <cfRule type="cellIs" dxfId="1912" priority="37" operator="greaterThan">
      <formula>0</formula>
    </cfRule>
  </conditionalFormatting>
  <conditionalFormatting sqref="O14 O16:O26">
    <cfRule type="cellIs" dxfId="1911" priority="412" operator="greaterThan">
      <formula>0</formula>
    </cfRule>
  </conditionalFormatting>
  <printOptions horizontalCentered="1"/>
  <pageMargins left="0.19685039370078741" right="0.19685039370078741" top="0.19685039370078741" bottom="0.19685039370078741" header="0.11811023622047245" footer="0.15748031496062992"/>
  <pageSetup paperSize="9" scale="60" orientation="landscape" r:id="rId1"/>
  <headerFooter alignWithMargins="0">
    <oddFooter>&amp;L&amp;Z&amp;F</oddFooter>
  </headerFooter>
  <ignoredErrors>
    <ignoredError sqref="L12"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'Base Costs'!$A$32:$A$37</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8" tint="0.79998168889431442"/>
    <pageSetUpPr fitToPage="1"/>
  </sheetPr>
  <dimension ref="A1:AE117"/>
  <sheetViews>
    <sheetView zoomScale="80" zoomScaleNormal="80" workbookViewId="0">
      <selection activeCell="K1" sqref="K1"/>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31.5" style="165" customWidth="1"/>
    <col min="5" max="5" width="12.5" style="165" customWidth="1"/>
    <col min="6" max="6" width="12.6640625" style="171" customWidth="1"/>
    <col min="7" max="7" width="13" style="171" bestFit="1" customWidth="1"/>
    <col min="8" max="8" width="12.1640625" style="159" customWidth="1"/>
    <col min="9" max="9" width="14.6640625" style="171" hidden="1" customWidth="1"/>
    <col min="10" max="10" width="14.6640625" style="171" customWidth="1"/>
    <col min="11" max="11" width="12.83203125" style="171" customWidth="1"/>
    <col min="12" max="13" width="13.5" style="97" hidden="1" customWidth="1"/>
    <col min="14" max="14" width="13.5" style="97" customWidth="1"/>
    <col min="15" max="15" width="13.5" style="164" bestFit="1" customWidth="1"/>
    <col min="16" max="16" width="9.5" style="164" customWidth="1"/>
    <col min="17" max="17" width="9.5" style="165" customWidth="1"/>
    <col min="18" max="18" width="8.1640625" style="165" customWidth="1"/>
    <col min="19" max="19" width="9.1640625" style="166" customWidth="1"/>
    <col min="20" max="21" width="8.83203125" style="165"/>
    <col min="22" max="22" width="6.83203125" style="165" customWidth="1"/>
    <col min="23" max="23" width="11.5" style="165" customWidth="1"/>
    <col min="24" max="24" width="5.1640625" style="165" customWidth="1"/>
    <col min="25" max="25" width="10.5" style="165" customWidth="1"/>
    <col min="26" max="28" width="8.83203125" style="165"/>
    <col min="29" max="29" width="14.33203125" style="165" customWidth="1"/>
    <col min="30" max="16384" width="8.83203125" style="165"/>
  </cols>
  <sheetData>
    <row r="1" spans="1:19" ht="19" x14ac:dyDescent="0.2">
      <c r="B1" s="1153" t="s">
        <v>1466</v>
      </c>
      <c r="C1" s="1153"/>
      <c r="D1" s="1153"/>
      <c r="E1" s="160"/>
      <c r="F1" s="161"/>
      <c r="G1" s="162"/>
      <c r="H1" s="163"/>
      <c r="I1" s="161"/>
      <c r="J1" s="161"/>
      <c r="K1" s="981" t="s">
        <v>1478</v>
      </c>
    </row>
    <row r="2" spans="1:19" ht="15.75" customHeight="1" x14ac:dyDescent="0.2">
      <c r="B2" s="167"/>
      <c r="C2" s="167"/>
      <c r="D2" s="167"/>
      <c r="E2" s="168"/>
      <c r="F2" s="169"/>
      <c r="G2" s="169"/>
      <c r="H2" s="170"/>
      <c r="Q2" s="166"/>
      <c r="S2" s="165"/>
    </row>
    <row r="3" spans="1:19" ht="15.75" customHeight="1" x14ac:dyDescent="0.2">
      <c r="C3" s="172"/>
      <c r="D3" s="173"/>
      <c r="F3" s="174"/>
      <c r="G3" s="159"/>
      <c r="H3" s="175"/>
      <c r="I3" s="159"/>
      <c r="J3" s="159"/>
      <c r="Q3" s="166"/>
      <c r="S3" s="165"/>
    </row>
    <row r="4" spans="1:19" ht="15.75" customHeight="1" x14ac:dyDescent="0.2">
      <c r="B4" s="176" t="s">
        <v>728</v>
      </c>
      <c r="C4" s="1155" t="str">
        <f>IF(CANOPY!C3="","",CANOPY!C3)</f>
        <v/>
      </c>
      <c r="D4" s="1155"/>
      <c r="E4" s="177" t="s">
        <v>75</v>
      </c>
      <c r="F4" s="1156" t="str">
        <f>IF(CANOPY!G3="","",CANOPY!G3)</f>
        <v/>
      </c>
      <c r="G4" s="1156"/>
      <c r="H4" s="1156"/>
      <c r="I4" s="1154"/>
      <c r="J4" s="1154"/>
      <c r="K4" s="1154"/>
      <c r="Q4" s="166"/>
      <c r="S4" s="165"/>
    </row>
    <row r="5" spans="1:19" ht="15.75" customHeight="1" x14ac:dyDescent="0.2">
      <c r="C5" s="51"/>
      <c r="D5" s="51"/>
      <c r="E5" s="178"/>
      <c r="F5" s="179"/>
      <c r="G5" s="359"/>
      <c r="H5" s="359"/>
      <c r="I5" s="159"/>
      <c r="J5" s="159"/>
      <c r="K5" s="175"/>
      <c r="Q5" s="166"/>
      <c r="S5" s="165"/>
    </row>
    <row r="6" spans="1:19" ht="15.75" customHeight="1" x14ac:dyDescent="0.2">
      <c r="B6" s="176" t="s">
        <v>72</v>
      </c>
      <c r="C6" s="1155" t="str">
        <f>IF(CANOPY!C5="","",CANOPY!C5)</f>
        <v/>
      </c>
      <c r="D6" s="1155"/>
      <c r="E6" s="177" t="s">
        <v>74</v>
      </c>
      <c r="F6" s="1156" t="str">
        <f>IF(CANOPY!G5="","",CANOPY!G5)</f>
        <v/>
      </c>
      <c r="G6" s="1156"/>
      <c r="H6" s="1156"/>
      <c r="I6" s="1154"/>
      <c r="J6" s="1154"/>
      <c r="K6" s="1154"/>
      <c r="Q6" s="166"/>
      <c r="S6" s="165"/>
    </row>
    <row r="7" spans="1:19" ht="15.75" customHeight="1" x14ac:dyDescent="0.2">
      <c r="B7" s="176"/>
      <c r="C7" s="176"/>
      <c r="D7" s="180"/>
      <c r="E7" s="180"/>
      <c r="F7" s="179"/>
      <c r="G7" s="359"/>
      <c r="H7" s="470"/>
      <c r="I7" s="159"/>
      <c r="J7" s="159"/>
      <c r="K7" s="159"/>
      <c r="L7" s="112"/>
      <c r="M7" s="112"/>
      <c r="N7" s="112"/>
      <c r="Q7" s="166"/>
      <c r="S7" s="165"/>
    </row>
    <row r="8" spans="1:19" ht="15.75" customHeight="1" x14ac:dyDescent="0.2">
      <c r="B8" s="80" t="s">
        <v>729</v>
      </c>
      <c r="C8" s="1155" t="str">
        <f>IF(CANOPY!C7="","",CANOPY!C7)</f>
        <v/>
      </c>
      <c r="D8" s="1155"/>
      <c r="E8" s="181" t="s">
        <v>73</v>
      </c>
      <c r="F8" s="1157" t="str">
        <f>IF(CANOPY!G7="","",CANOPY!G7)</f>
        <v/>
      </c>
      <c r="G8" s="1157"/>
      <c r="H8" s="1157"/>
      <c r="J8" s="187" t="s">
        <v>76</v>
      </c>
      <c r="K8" s="1145" t="str">
        <f>IF(CANOPY!O7="","",CANOPY!O7)</f>
        <v/>
      </c>
      <c r="L8" s="1145"/>
      <c r="M8" s="467"/>
      <c r="N8" s="1091" t="s">
        <v>1371</v>
      </c>
      <c r="O8" s="1091"/>
      <c r="P8" s="1091"/>
      <c r="Q8" s="166"/>
      <c r="S8" s="165"/>
    </row>
    <row r="9" spans="1:19" ht="15.75" customHeight="1" thickBot="1" x14ac:dyDescent="0.25">
      <c r="D9" s="182"/>
      <c r="E9" s="178"/>
      <c r="F9" s="159"/>
      <c r="G9" s="159"/>
      <c r="H9" s="175"/>
      <c r="I9" s="170"/>
      <c r="J9" s="170"/>
      <c r="L9" s="467"/>
      <c r="M9" s="467"/>
      <c r="N9" s="467"/>
      <c r="Q9" s="166"/>
      <c r="S9" s="165"/>
    </row>
    <row r="10" spans="1:19" s="173" customFormat="1" ht="15.75" customHeight="1" thickBot="1" x14ac:dyDescent="0.25">
      <c r="A10" s="300"/>
      <c r="B10" s="38" t="s">
        <v>348</v>
      </c>
      <c r="C10" s="953"/>
      <c r="D10" s="796">
        <f>IF(C10=0,0,(SUBTOTAL(9,I13:I102)/(1-C10))-I10)</f>
        <v>0</v>
      </c>
      <c r="E10" s="1147"/>
      <c r="F10" s="1148"/>
      <c r="G10" s="25">
        <f>SUBTOTAL(9,G14:G102)</f>
        <v>1488</v>
      </c>
      <c r="H10" s="973">
        <f>IF(K10=0,"-",K10/I10)</f>
        <v>0.40143664399961704</v>
      </c>
      <c r="I10" s="25">
        <f>SUBTOTAL(9,I14:I102)</f>
        <v>2485.9523809523807</v>
      </c>
      <c r="J10" s="464">
        <f>SUBTOTAL(9,J14:J102)</f>
        <v>2485.9523809523807</v>
      </c>
      <c r="K10" s="25">
        <f>SUBTOTAL(9,K14:K102)</f>
        <v>997.95238095238119</v>
      </c>
      <c r="L10" s="468"/>
      <c r="M10" s="468"/>
      <c r="N10" s="468"/>
      <c r="O10" s="164"/>
      <c r="P10" s="164"/>
      <c r="Q10" s="185"/>
    </row>
    <row r="11" spans="1:19" s="173" customFormat="1" ht="15.75" customHeight="1" x14ac:dyDescent="0.2">
      <c r="A11" s="300"/>
      <c r="B11" s="375" t="s">
        <v>348</v>
      </c>
      <c r="C11" s="375" t="s">
        <v>537</v>
      </c>
      <c r="D11" s="375" t="s">
        <v>536</v>
      </c>
      <c r="E11" s="375"/>
      <c r="F11" s="375" t="s">
        <v>204</v>
      </c>
      <c r="G11" s="375" t="s">
        <v>34</v>
      </c>
      <c r="H11" s="375" t="s">
        <v>141</v>
      </c>
      <c r="I11" s="375" t="s">
        <v>205</v>
      </c>
      <c r="J11" s="375" t="s">
        <v>205</v>
      </c>
      <c r="K11" s="375" t="s">
        <v>206</v>
      </c>
      <c r="L11" s="97"/>
      <c r="M11" s="97"/>
      <c r="N11" s="97"/>
      <c r="O11" s="164"/>
      <c r="P11" s="164"/>
      <c r="S11" s="185"/>
    </row>
    <row r="12" spans="1:19" s="173" customFormat="1" ht="15.75" customHeight="1" thickBot="1" x14ac:dyDescent="0.25">
      <c r="A12" s="300"/>
      <c r="B12" s="176"/>
      <c r="C12" s="176"/>
      <c r="D12" s="176"/>
      <c r="E12" s="176"/>
      <c r="F12" s="187"/>
      <c r="G12" s="187"/>
      <c r="H12" s="187"/>
      <c r="I12" s="187"/>
      <c r="J12" s="187"/>
      <c r="K12" s="171"/>
      <c r="L12" s="469"/>
      <c r="M12" s="469"/>
      <c r="N12" s="469"/>
      <c r="O12" s="164"/>
      <c r="P12" s="164"/>
      <c r="S12" s="185"/>
    </row>
    <row r="13" spans="1:19" ht="15.75" customHeight="1" thickBot="1" x14ac:dyDescent="0.3">
      <c r="B13" s="24" t="s">
        <v>50</v>
      </c>
      <c r="C13" s="188" t="s">
        <v>2</v>
      </c>
      <c r="D13" s="24" t="s">
        <v>1</v>
      </c>
      <c r="E13" s="188" t="s">
        <v>236</v>
      </c>
      <c r="F13" s="189"/>
      <c r="G13" s="61">
        <f>SUBTOTAL(9,G14:G32)</f>
        <v>1488</v>
      </c>
      <c r="H13" s="145">
        <f>IF(G13=0,"-",K13/I13)</f>
        <v>0.40143664399961704</v>
      </c>
      <c r="I13" s="61">
        <f>SUBTOTAL(9,I14:I32)</f>
        <v>2485.9523809523807</v>
      </c>
      <c r="J13" s="465">
        <f>SUBTOTAL(9,J14:J32)</f>
        <v>2485.9523809523807</v>
      </c>
      <c r="K13" s="61">
        <f>SUBTOTAL(9,K14:K32)</f>
        <v>997.95238095238119</v>
      </c>
      <c r="L13" s="469"/>
      <c r="O13" s="835" t="s">
        <v>909</v>
      </c>
      <c r="Q13" s="1151" t="s">
        <v>659</v>
      </c>
      <c r="R13" s="1152"/>
    </row>
    <row r="14" spans="1:19" ht="15.75" customHeight="1" x14ac:dyDescent="0.2">
      <c r="A14" s="299">
        <v>270</v>
      </c>
      <c r="B14" s="269" t="s">
        <v>463</v>
      </c>
      <c r="C14" s="314"/>
      <c r="D14" s="269" t="s">
        <v>910</v>
      </c>
      <c r="E14" s="315"/>
      <c r="F14" s="380">
        <f>'Base Costs'!AX6</f>
        <v>683.56220000000008</v>
      </c>
      <c r="G14" s="378">
        <f>C14*F14</f>
        <v>0</v>
      </c>
      <c r="H14" s="381">
        <v>0.4</v>
      </c>
      <c r="I14" s="311">
        <f t="shared" ref="I14:I32" si="0">G14/(1-H14)*(1+$C$10)</f>
        <v>0</v>
      </c>
      <c r="J14" s="378">
        <f>I14*VLOOKUP($B$10,'Base Costs'!$A$32:$B$37,2,FALSE)</f>
        <v>0</v>
      </c>
      <c r="K14" s="379">
        <f t="shared" ref="K14" si="1">I14-G14</f>
        <v>0</v>
      </c>
      <c r="L14" s="469"/>
      <c r="O14" s="836">
        <f>ROUNDUP(SUM(M49:M56),0.1)</f>
        <v>0</v>
      </c>
      <c r="Q14" s="569" t="s">
        <v>608</v>
      </c>
      <c r="R14" s="570">
        <v>0</v>
      </c>
    </row>
    <row r="15" spans="1:19" ht="15.75" customHeight="1" thickBot="1" x14ac:dyDescent="0.25">
      <c r="A15" s="299">
        <v>270</v>
      </c>
      <c r="B15" s="269" t="s">
        <v>463</v>
      </c>
      <c r="C15" s="314"/>
      <c r="D15" s="269" t="s">
        <v>911</v>
      </c>
      <c r="E15" s="315"/>
      <c r="F15" s="380">
        <f>'Base Costs'!AX7</f>
        <v>858.30320000000006</v>
      </c>
      <c r="G15" s="378">
        <f t="shared" ref="G15:G32" si="2">C15*F15</f>
        <v>0</v>
      </c>
      <c r="H15" s="381">
        <v>0.4</v>
      </c>
      <c r="I15" s="311">
        <f t="shared" si="0"/>
        <v>0</v>
      </c>
      <c r="J15" s="378">
        <f>I15*VLOOKUP($B$10,'Base Costs'!$A$32:$B$37,2,FALSE)</f>
        <v>0</v>
      </c>
      <c r="K15" s="379">
        <f t="shared" ref="K15:K32" si="3">I15-G15</f>
        <v>0</v>
      </c>
      <c r="L15" s="469"/>
      <c r="M15" s="469"/>
      <c r="N15" s="469"/>
      <c r="O15" s="805"/>
      <c r="P15" s="806"/>
      <c r="Q15" s="571" t="s">
        <v>609</v>
      </c>
      <c r="R15" s="573">
        <v>400</v>
      </c>
    </row>
    <row r="16" spans="1:19" ht="15.75" customHeight="1" thickBot="1" x14ac:dyDescent="0.25">
      <c r="A16" s="299">
        <v>270</v>
      </c>
      <c r="B16" s="269" t="s">
        <v>464</v>
      </c>
      <c r="C16" s="314"/>
      <c r="D16" s="269" t="s">
        <v>477</v>
      </c>
      <c r="E16" s="315"/>
      <c r="F16" s="380">
        <f>'Base Costs'!AX8</f>
        <v>514.32259999999997</v>
      </c>
      <c r="G16" s="378">
        <f t="shared" si="2"/>
        <v>0</v>
      </c>
      <c r="H16" s="381">
        <v>0.4</v>
      </c>
      <c r="I16" s="311">
        <f t="shared" si="0"/>
        <v>0</v>
      </c>
      <c r="J16" s="378">
        <f>I16*VLOOKUP($B$10,'Base Costs'!$A$32:$B$37,2,FALSE)</f>
        <v>0</v>
      </c>
      <c r="K16" s="379">
        <f t="shared" si="3"/>
        <v>0</v>
      </c>
      <c r="L16" s="469"/>
      <c r="M16" s="469"/>
      <c r="N16" s="469"/>
      <c r="O16" s="807"/>
      <c r="P16" s="808"/>
      <c r="Q16" s="572" t="s">
        <v>660</v>
      </c>
      <c r="R16" s="574">
        <f>IF((R15)="","0",((R14*1000)/(1.73205080756*R15)))</f>
        <v>0</v>
      </c>
    </row>
    <row r="17" spans="1:18" ht="15.75" customHeight="1" x14ac:dyDescent="0.2">
      <c r="A17" s="299">
        <v>270</v>
      </c>
      <c r="B17" s="269" t="s">
        <v>464</v>
      </c>
      <c r="C17" s="314"/>
      <c r="D17" s="269" t="s">
        <v>478</v>
      </c>
      <c r="E17" s="315"/>
      <c r="F17" s="380">
        <f>'Base Costs'!AX9</f>
        <v>660.80399999999997</v>
      </c>
      <c r="G17" s="378">
        <f t="shared" si="2"/>
        <v>0</v>
      </c>
      <c r="H17" s="381">
        <v>0.4</v>
      </c>
      <c r="I17" s="311">
        <f t="shared" si="0"/>
        <v>0</v>
      </c>
      <c r="J17" s="378">
        <f>I17*VLOOKUP($B$10,'Base Costs'!$A$32:$B$37,2,FALSE)</f>
        <v>0</v>
      </c>
      <c r="K17" s="379">
        <f t="shared" si="3"/>
        <v>0</v>
      </c>
      <c r="L17" s="469"/>
      <c r="M17" s="469"/>
      <c r="N17" s="469"/>
      <c r="Q17" s="164"/>
      <c r="R17" s="164"/>
    </row>
    <row r="18" spans="1:18" ht="15.75" customHeight="1" x14ac:dyDescent="0.2">
      <c r="A18" s="299">
        <v>270</v>
      </c>
      <c r="B18" s="269" t="s">
        <v>464</v>
      </c>
      <c r="C18" s="314"/>
      <c r="D18" s="269" t="s">
        <v>479</v>
      </c>
      <c r="E18" s="315"/>
      <c r="F18" s="380">
        <f>'Base Costs'!AX10</f>
        <v>750.53300000000002</v>
      </c>
      <c r="G18" s="378">
        <f t="shared" si="2"/>
        <v>0</v>
      </c>
      <c r="H18" s="381">
        <v>0.4</v>
      </c>
      <c r="I18" s="311">
        <f t="shared" si="0"/>
        <v>0</v>
      </c>
      <c r="J18" s="378">
        <f>I18*VLOOKUP($B$10,'Base Costs'!$A$32:$B$37,2,FALSE)</f>
        <v>0</v>
      </c>
      <c r="K18" s="379">
        <f t="shared" si="3"/>
        <v>0</v>
      </c>
      <c r="L18" s="469"/>
      <c r="M18" s="469"/>
      <c r="N18" s="469"/>
      <c r="Q18" s="164"/>
      <c r="R18" s="164"/>
    </row>
    <row r="19" spans="1:18" ht="15.75" customHeight="1" x14ac:dyDescent="0.2">
      <c r="A19" s="299">
        <v>270</v>
      </c>
      <c r="B19" s="269" t="s">
        <v>465</v>
      </c>
      <c r="C19" s="314"/>
      <c r="D19" s="269" t="s">
        <v>477</v>
      </c>
      <c r="E19" s="315"/>
      <c r="F19" s="380">
        <f>'Base Costs'!AX11</f>
        <v>412.7004</v>
      </c>
      <c r="G19" s="378">
        <f t="shared" si="2"/>
        <v>0</v>
      </c>
      <c r="H19" s="381">
        <v>0.4</v>
      </c>
      <c r="I19" s="311">
        <f t="shared" si="0"/>
        <v>0</v>
      </c>
      <c r="J19" s="378">
        <f>I19*VLOOKUP($B$10,'Base Costs'!$A$32:$B$37,2,FALSE)</f>
        <v>0</v>
      </c>
      <c r="K19" s="379">
        <f t="shared" si="3"/>
        <v>0</v>
      </c>
      <c r="L19" s="469"/>
      <c r="M19" s="469"/>
      <c r="N19" s="469"/>
      <c r="Q19" s="164"/>
      <c r="R19" s="164"/>
    </row>
    <row r="20" spans="1:18" ht="15.75" customHeight="1" x14ac:dyDescent="0.2">
      <c r="A20" s="299">
        <v>270</v>
      </c>
      <c r="B20" s="269" t="s">
        <v>465</v>
      </c>
      <c r="C20" s="314"/>
      <c r="D20" s="269" t="s">
        <v>478</v>
      </c>
      <c r="E20" s="315"/>
      <c r="F20" s="380">
        <f>'Base Costs'!AX12</f>
        <v>535.6816</v>
      </c>
      <c r="G20" s="378">
        <f t="shared" si="2"/>
        <v>0</v>
      </c>
      <c r="H20" s="381">
        <v>0.4</v>
      </c>
      <c r="I20" s="311">
        <f t="shared" si="0"/>
        <v>0</v>
      </c>
      <c r="J20" s="378">
        <f>I20*VLOOKUP($B$10,'Base Costs'!$A$32:$B$37,2,FALSE)</f>
        <v>0</v>
      </c>
      <c r="K20" s="379">
        <f t="shared" si="3"/>
        <v>0</v>
      </c>
      <c r="L20" s="469"/>
      <c r="M20" s="469"/>
      <c r="N20" s="469"/>
      <c r="Q20" s="164"/>
      <c r="R20" s="164"/>
    </row>
    <row r="21" spans="1:18" ht="15.75" customHeight="1" x14ac:dyDescent="0.2">
      <c r="A21" s="299">
        <v>270</v>
      </c>
      <c r="B21" s="269" t="s">
        <v>465</v>
      </c>
      <c r="C21" s="314"/>
      <c r="D21" s="269" t="s">
        <v>479</v>
      </c>
      <c r="E21" s="315"/>
      <c r="F21" s="380">
        <f>'Base Costs'!AX13</f>
        <v>625.4</v>
      </c>
      <c r="G21" s="378">
        <f t="shared" si="2"/>
        <v>0</v>
      </c>
      <c r="H21" s="381">
        <v>0.4</v>
      </c>
      <c r="I21" s="311">
        <f t="shared" si="0"/>
        <v>0</v>
      </c>
      <c r="J21" s="378">
        <f>I21*VLOOKUP($B$10,'Base Costs'!$A$32:$B$37,2,FALSE)</f>
        <v>0</v>
      </c>
      <c r="K21" s="379">
        <f t="shared" si="3"/>
        <v>0</v>
      </c>
      <c r="L21" s="469"/>
      <c r="M21" s="469"/>
      <c r="N21" s="469"/>
      <c r="Q21" s="164"/>
      <c r="R21" s="164"/>
    </row>
    <row r="22" spans="1:18" ht="15.75" customHeight="1" x14ac:dyDescent="0.2">
      <c r="A22" s="299">
        <v>270</v>
      </c>
      <c r="B22" s="269" t="s">
        <v>466</v>
      </c>
      <c r="C22" s="314"/>
      <c r="D22" s="269" t="s">
        <v>480</v>
      </c>
      <c r="E22" s="315"/>
      <c r="F22" s="380">
        <f>'Base Costs'!AX14</f>
        <v>877.40440000000001</v>
      </c>
      <c r="G22" s="378">
        <f t="shared" si="2"/>
        <v>0</v>
      </c>
      <c r="H22" s="381">
        <v>0.4</v>
      </c>
      <c r="I22" s="311">
        <f t="shared" si="0"/>
        <v>0</v>
      </c>
      <c r="J22" s="378">
        <f>I22*VLOOKUP($B$10,'Base Costs'!$A$32:$B$37,2,FALSE)</f>
        <v>0</v>
      </c>
      <c r="K22" s="379">
        <f t="shared" si="3"/>
        <v>0</v>
      </c>
      <c r="L22" s="469"/>
      <c r="M22" s="469"/>
      <c r="N22" s="469"/>
      <c r="Q22" s="164"/>
      <c r="R22" s="164"/>
    </row>
    <row r="23" spans="1:18" ht="15.75" customHeight="1" x14ac:dyDescent="0.2">
      <c r="A23" s="299">
        <v>270</v>
      </c>
      <c r="B23" s="269" t="s">
        <v>466</v>
      </c>
      <c r="C23" s="314"/>
      <c r="D23" s="269" t="s">
        <v>481</v>
      </c>
      <c r="E23" s="315"/>
      <c r="F23" s="380">
        <f>'Base Costs'!AX15</f>
        <v>1061.6218000000001</v>
      </c>
      <c r="G23" s="378">
        <f t="shared" si="2"/>
        <v>0</v>
      </c>
      <c r="H23" s="381">
        <v>0.4</v>
      </c>
      <c r="I23" s="311">
        <f t="shared" si="0"/>
        <v>0</v>
      </c>
      <c r="J23" s="378">
        <f>I23*VLOOKUP($B$10,'Base Costs'!$A$32:$B$37,2,FALSE)</f>
        <v>0</v>
      </c>
      <c r="K23" s="379">
        <f t="shared" si="3"/>
        <v>0</v>
      </c>
      <c r="L23" s="469"/>
      <c r="M23" s="469"/>
      <c r="N23" s="469"/>
      <c r="Q23" s="164"/>
      <c r="R23" s="164"/>
    </row>
    <row r="24" spans="1:18" ht="15.75" customHeight="1" x14ac:dyDescent="0.2">
      <c r="A24" s="299">
        <v>270</v>
      </c>
      <c r="B24" s="269" t="s">
        <v>466</v>
      </c>
      <c r="C24" s="314"/>
      <c r="D24" s="269" t="s">
        <v>482</v>
      </c>
      <c r="E24" s="315"/>
      <c r="F24" s="380">
        <f>'Base Costs'!AX16</f>
        <v>1326.2084000000002</v>
      </c>
      <c r="G24" s="378">
        <f t="shared" si="2"/>
        <v>0</v>
      </c>
      <c r="H24" s="381">
        <v>0.4</v>
      </c>
      <c r="I24" s="311">
        <f t="shared" si="0"/>
        <v>0</v>
      </c>
      <c r="J24" s="378">
        <f>I24*VLOOKUP($B$10,'Base Costs'!$A$32:$B$37,2,FALSE)</f>
        <v>0</v>
      </c>
      <c r="K24" s="379">
        <f t="shared" si="3"/>
        <v>0</v>
      </c>
      <c r="L24" s="469"/>
      <c r="M24" s="469"/>
      <c r="N24" s="469"/>
      <c r="Q24" s="164"/>
      <c r="R24" s="164"/>
    </row>
    <row r="25" spans="1:18" ht="15.75" customHeight="1" x14ac:dyDescent="0.2">
      <c r="B25" s="984" t="s">
        <v>1313</v>
      </c>
      <c r="C25" s="999">
        <v>1</v>
      </c>
      <c r="D25" s="984" t="s">
        <v>1367</v>
      </c>
      <c r="E25" s="1000"/>
      <c r="F25" s="1001">
        <v>50</v>
      </c>
      <c r="G25" s="1002">
        <f t="shared" ref="G25" si="4">C25*F25</f>
        <v>50</v>
      </c>
      <c r="H25" s="1003">
        <v>0.44</v>
      </c>
      <c r="I25" s="1004">
        <f t="shared" ref="I25" si="5">G25/(1-H25)*(1+$C$10)</f>
        <v>89.285714285714278</v>
      </c>
      <c r="J25" s="1002">
        <f>I25*VLOOKUP($B$10,'Base Costs'!$A$32:$B$37,2,FALSE)</f>
        <v>89.285714285714278</v>
      </c>
      <c r="K25" s="1005">
        <f t="shared" ref="K25" si="6">I25-G25</f>
        <v>39.285714285714278</v>
      </c>
      <c r="L25" s="1006"/>
      <c r="M25" s="1006"/>
      <c r="N25" s="1007" t="s">
        <v>1360</v>
      </c>
      <c r="Q25" s="164"/>
      <c r="R25" s="164"/>
    </row>
    <row r="26" spans="1:18" ht="15.75" customHeight="1" x14ac:dyDescent="0.2">
      <c r="A26" s="299">
        <v>268</v>
      </c>
      <c r="B26" s="269" t="s">
        <v>6</v>
      </c>
      <c r="C26" s="314"/>
      <c r="D26" s="269" t="s">
        <v>483</v>
      </c>
      <c r="E26" s="315"/>
      <c r="F26" s="380">
        <f>'Base Costs'!AX18</f>
        <v>476.95760000000001</v>
      </c>
      <c r="G26" s="378">
        <f t="shared" si="2"/>
        <v>0</v>
      </c>
      <c r="H26" s="381">
        <v>0.4</v>
      </c>
      <c r="I26" s="311">
        <f t="shared" si="0"/>
        <v>0</v>
      </c>
      <c r="J26" s="378">
        <f>I26*VLOOKUP($B$10,'Base Costs'!$A$32:$B$37,2,FALSE)</f>
        <v>0</v>
      </c>
      <c r="K26" s="379">
        <f t="shared" si="3"/>
        <v>0</v>
      </c>
      <c r="L26" s="469"/>
      <c r="M26" s="469"/>
      <c r="N26" s="469"/>
      <c r="Q26" s="164"/>
      <c r="R26" s="164"/>
    </row>
    <row r="27" spans="1:18" ht="15.75" customHeight="1" x14ac:dyDescent="0.2">
      <c r="A27" s="299">
        <v>268</v>
      </c>
      <c r="B27" s="269" t="s">
        <v>6</v>
      </c>
      <c r="C27" s="314"/>
      <c r="D27" s="269" t="s">
        <v>484</v>
      </c>
      <c r="E27" s="315"/>
      <c r="F27" s="380">
        <f>'Base Costs'!AX19</f>
        <v>633.62560000000008</v>
      </c>
      <c r="G27" s="378">
        <f t="shared" si="2"/>
        <v>0</v>
      </c>
      <c r="H27" s="381">
        <v>0.4</v>
      </c>
      <c r="I27" s="311">
        <f t="shared" si="0"/>
        <v>0</v>
      </c>
      <c r="J27" s="378">
        <f>I27*VLOOKUP($B$10,'Base Costs'!$A$32:$B$37,2,FALSE)</f>
        <v>0</v>
      </c>
      <c r="K27" s="379">
        <f t="shared" si="3"/>
        <v>0</v>
      </c>
      <c r="L27" s="469"/>
      <c r="M27" s="469"/>
      <c r="N27" s="469"/>
      <c r="Q27" s="164"/>
      <c r="R27" s="164"/>
    </row>
    <row r="28" spans="1:18" ht="15.75" customHeight="1" x14ac:dyDescent="0.2">
      <c r="A28" s="299">
        <v>268</v>
      </c>
      <c r="B28" s="269" t="s">
        <v>6</v>
      </c>
      <c r="C28" s="314"/>
      <c r="D28" s="269" t="s">
        <v>485</v>
      </c>
      <c r="E28" s="315"/>
      <c r="F28" s="380">
        <f>'Base Costs'!AX20</f>
        <v>734.64359999999999</v>
      </c>
      <c r="G28" s="378">
        <f t="shared" si="2"/>
        <v>0</v>
      </c>
      <c r="H28" s="381">
        <v>0.4</v>
      </c>
      <c r="I28" s="311">
        <f t="shared" si="0"/>
        <v>0</v>
      </c>
      <c r="J28" s="378">
        <f>I28*VLOOKUP($B$10,'Base Costs'!$A$32:$B$37,2,FALSE)</f>
        <v>0</v>
      </c>
      <c r="K28" s="379">
        <f t="shared" si="3"/>
        <v>0</v>
      </c>
      <c r="L28" s="469"/>
      <c r="M28" s="469"/>
      <c r="N28" s="469"/>
      <c r="Q28" s="164"/>
      <c r="R28" s="164"/>
    </row>
    <row r="29" spans="1:18" ht="15.75" customHeight="1" x14ac:dyDescent="0.2">
      <c r="A29" s="299">
        <v>268</v>
      </c>
      <c r="B29" s="269" t="s">
        <v>7</v>
      </c>
      <c r="C29" s="314"/>
      <c r="D29" s="269" t="s">
        <v>437</v>
      </c>
      <c r="E29" s="315"/>
      <c r="F29" s="380">
        <f>'Base Costs'!AX21</f>
        <v>188.36199999999999</v>
      </c>
      <c r="G29" s="378">
        <f t="shared" si="2"/>
        <v>0</v>
      </c>
      <c r="H29" s="381">
        <v>0.4</v>
      </c>
      <c r="I29" s="311">
        <f t="shared" si="0"/>
        <v>0</v>
      </c>
      <c r="J29" s="378">
        <f>I29*VLOOKUP($B$10,'Base Costs'!$A$32:$B$37,2,FALSE)</f>
        <v>0</v>
      </c>
      <c r="K29" s="379">
        <f t="shared" si="3"/>
        <v>0</v>
      </c>
      <c r="L29" s="469"/>
      <c r="M29" s="469"/>
      <c r="N29" s="469"/>
      <c r="Q29" s="164"/>
      <c r="R29" s="164"/>
    </row>
    <row r="30" spans="1:18" ht="15.75" customHeight="1" x14ac:dyDescent="0.2">
      <c r="A30" s="299">
        <v>268</v>
      </c>
      <c r="B30" s="269" t="s">
        <v>51</v>
      </c>
      <c r="C30" s="314">
        <v>1</v>
      </c>
      <c r="D30" s="269" t="s">
        <v>486</v>
      </c>
      <c r="E30" s="315"/>
      <c r="F30" s="380">
        <f>'Base Costs'!AX22</f>
        <v>700</v>
      </c>
      <c r="G30" s="378">
        <f t="shared" si="2"/>
        <v>700</v>
      </c>
      <c r="H30" s="381">
        <v>0.4</v>
      </c>
      <c r="I30" s="311">
        <f t="shared" si="0"/>
        <v>1166.6666666666667</v>
      </c>
      <c r="J30" s="378">
        <f>I30*VLOOKUP($B$10,'Base Costs'!$A$32:$B$37,2,FALSE)</f>
        <v>1166.6666666666667</v>
      </c>
      <c r="K30" s="379">
        <f t="shared" si="3"/>
        <v>466.66666666666674</v>
      </c>
      <c r="L30" s="469"/>
      <c r="M30" s="469"/>
      <c r="N30" s="469"/>
      <c r="Q30" s="164"/>
      <c r="R30" s="164"/>
    </row>
    <row r="31" spans="1:18" ht="15.75" customHeight="1" x14ac:dyDescent="0.2">
      <c r="A31" s="299">
        <v>268</v>
      </c>
      <c r="B31" s="269" t="s">
        <v>52</v>
      </c>
      <c r="C31" s="314">
        <v>1</v>
      </c>
      <c r="D31" s="269" t="s">
        <v>486</v>
      </c>
      <c r="E31" s="315"/>
      <c r="F31" s="380">
        <f>'Base Costs'!AX23</f>
        <v>380</v>
      </c>
      <c r="G31" s="378">
        <f t="shared" si="2"/>
        <v>380</v>
      </c>
      <c r="H31" s="381">
        <v>0.4</v>
      </c>
      <c r="I31" s="311">
        <f t="shared" si="0"/>
        <v>633.33333333333337</v>
      </c>
      <c r="J31" s="378">
        <f>I31*VLOOKUP($B$10,'Base Costs'!$A$32:$B$37,2,FALSE)</f>
        <v>633.33333333333337</v>
      </c>
      <c r="K31" s="379">
        <f t="shared" si="3"/>
        <v>253.33333333333337</v>
      </c>
      <c r="L31" s="469"/>
      <c r="M31" s="469"/>
      <c r="N31" s="469"/>
      <c r="Q31" s="164"/>
      <c r="R31" s="164"/>
    </row>
    <row r="32" spans="1:18" ht="15.75" customHeight="1" x14ac:dyDescent="0.2">
      <c r="A32" s="299">
        <v>268</v>
      </c>
      <c r="B32" s="269" t="s">
        <v>53</v>
      </c>
      <c r="C32" s="314">
        <v>1</v>
      </c>
      <c r="D32" s="269" t="s">
        <v>437</v>
      </c>
      <c r="E32" s="315"/>
      <c r="F32" s="380">
        <f>'Base Costs'!AX24</f>
        <v>358</v>
      </c>
      <c r="G32" s="378">
        <f t="shared" si="2"/>
        <v>358</v>
      </c>
      <c r="H32" s="381">
        <v>0.4</v>
      </c>
      <c r="I32" s="311">
        <f t="shared" si="0"/>
        <v>596.66666666666674</v>
      </c>
      <c r="J32" s="378">
        <f>I32*VLOOKUP($B$10,'Base Costs'!$A$32:$B$37,2,FALSE)</f>
        <v>596.66666666666674</v>
      </c>
      <c r="K32" s="379">
        <f t="shared" si="3"/>
        <v>238.66666666666674</v>
      </c>
      <c r="L32" s="469"/>
      <c r="M32" s="469"/>
      <c r="N32" s="469"/>
      <c r="Q32" s="164"/>
      <c r="R32" s="164"/>
    </row>
    <row r="33" spans="1:31" ht="15.75" customHeight="1" x14ac:dyDescent="0.2">
      <c r="B33" s="190" t="s">
        <v>437</v>
      </c>
      <c r="C33" s="186"/>
      <c r="D33" s="190" t="s">
        <v>437</v>
      </c>
      <c r="E33" s="190"/>
      <c r="F33" s="296"/>
      <c r="G33" s="296"/>
      <c r="H33" s="297"/>
      <c r="I33" s="296"/>
      <c r="J33" s="296"/>
      <c r="K33" s="183"/>
      <c r="L33" s="469"/>
      <c r="M33" s="469"/>
      <c r="N33" s="469"/>
      <c r="Q33" s="164"/>
      <c r="R33" s="164"/>
    </row>
    <row r="34" spans="1:31" ht="15.75" customHeight="1" x14ac:dyDescent="0.2">
      <c r="B34" s="24" t="s">
        <v>54</v>
      </c>
      <c r="C34" s="192"/>
      <c r="D34" s="193" t="s">
        <v>437</v>
      </c>
      <c r="E34" s="193"/>
      <c r="F34" s="298"/>
      <c r="G34" s="61">
        <f>SUBTOTAL(9,G35:G68)</f>
        <v>0</v>
      </c>
      <c r="H34" s="39" t="str">
        <f>IF(G34=0,"-",K34/I34)</f>
        <v>-</v>
      </c>
      <c r="I34" s="61">
        <f>SUBTOTAL(9,I35:I68)</f>
        <v>0</v>
      </c>
      <c r="J34" s="465">
        <f>SUBTOTAL(9,J35:J68)</f>
        <v>0</v>
      </c>
      <c r="K34" s="61">
        <f>SUBTOTAL(9,K35:K68)</f>
        <v>0</v>
      </c>
      <c r="L34" s="813" t="s">
        <v>916</v>
      </c>
      <c r="M34" s="813" t="s">
        <v>14</v>
      </c>
      <c r="O34" s="1158"/>
      <c r="P34" s="1158"/>
      <c r="Q34" s="810"/>
      <c r="R34" s="810"/>
      <c r="S34" s="1159"/>
      <c r="T34" s="1159"/>
      <c r="U34" s="1159"/>
      <c r="V34" s="1159"/>
      <c r="Y34" s="1160"/>
      <c r="Z34" s="1160"/>
      <c r="AA34" s="1160"/>
      <c r="AB34" s="1160"/>
    </row>
    <row r="35" spans="1:31" ht="15.75" customHeight="1" x14ac:dyDescent="0.2">
      <c r="A35" s="299">
        <v>266</v>
      </c>
      <c r="B35" s="269" t="s">
        <v>890</v>
      </c>
      <c r="C35" s="314"/>
      <c r="D35" s="811"/>
      <c r="E35" s="269"/>
      <c r="F35" s="380">
        <f>IFERROR((VLOOKUP(D35,'Base Costs'!AU27:AX48,4,FALSE)),0)</f>
        <v>0</v>
      </c>
      <c r="G35" s="378">
        <f>C35*F35</f>
        <v>0</v>
      </c>
      <c r="H35" s="381">
        <v>0.37</v>
      </c>
      <c r="I35" s="378">
        <f t="shared" ref="I35:I68" si="7">G35/(1-H35)*(1+$C$10)</f>
        <v>0</v>
      </c>
      <c r="J35" s="378">
        <f>I35*VLOOKUP($B$10,'Base Costs'!$A$32:$B$37,2,FALSE)</f>
        <v>0</v>
      </c>
      <c r="K35" s="379">
        <f t="shared" ref="K35:K68" si="8">I35-G35</f>
        <v>0</v>
      </c>
      <c r="L35" s="813"/>
      <c r="M35" s="813"/>
      <c r="O35" s="1146"/>
      <c r="P35" s="1146"/>
      <c r="Q35" s="810"/>
      <c r="R35" s="810"/>
      <c r="S35" s="1149"/>
      <c r="T35" s="1149"/>
      <c r="U35" s="1149"/>
      <c r="V35" s="1149"/>
      <c r="W35" s="817"/>
      <c r="Y35" s="1149"/>
      <c r="Z35" s="1149"/>
      <c r="AA35" s="1149"/>
      <c r="AB35" s="1149"/>
      <c r="AC35" s="817"/>
      <c r="AE35" s="166"/>
    </row>
    <row r="36" spans="1:31" ht="15.75" customHeight="1" x14ac:dyDescent="0.2">
      <c r="A36" s="299">
        <v>266</v>
      </c>
      <c r="B36" s="269" t="s">
        <v>908</v>
      </c>
      <c r="C36" s="314"/>
      <c r="D36" s="811"/>
      <c r="E36" s="269"/>
      <c r="F36" s="380">
        <f>'Base Costs'!AX50</f>
        <v>151.72839999999999</v>
      </c>
      <c r="G36" s="378">
        <f t="shared" ref="G36:G68" si="9">C36*F36</f>
        <v>0</v>
      </c>
      <c r="H36" s="381">
        <v>0.37</v>
      </c>
      <c r="I36" s="378">
        <f t="shared" si="7"/>
        <v>0</v>
      </c>
      <c r="J36" s="378">
        <f>I36*VLOOKUP($B$10,'Base Costs'!$A$32:$B$37,2,FALSE)</f>
        <v>0</v>
      </c>
      <c r="K36" s="379">
        <f t="shared" si="8"/>
        <v>0</v>
      </c>
      <c r="L36" s="813"/>
      <c r="M36" s="813"/>
      <c r="O36" s="1146"/>
      <c r="P36" s="1146"/>
      <c r="Q36" s="810"/>
      <c r="R36" s="810"/>
      <c r="S36" s="1149"/>
      <c r="T36" s="1149"/>
      <c r="U36" s="1149"/>
      <c r="V36" s="1149"/>
      <c r="W36" s="817"/>
      <c r="Y36" s="1149"/>
      <c r="Z36" s="1149"/>
      <c r="AA36" s="1149"/>
      <c r="AB36" s="1149"/>
      <c r="AC36" s="817"/>
      <c r="AE36" s="166"/>
    </row>
    <row r="37" spans="1:31" ht="15.75" customHeight="1" x14ac:dyDescent="0.2">
      <c r="A37" s="299">
        <v>266</v>
      </c>
      <c r="B37" s="269"/>
      <c r="C37" s="314"/>
      <c r="D37" s="811"/>
      <c r="E37" s="269"/>
      <c r="F37" s="380">
        <f>'Base Costs'!AX51</f>
        <v>0</v>
      </c>
      <c r="G37" s="378">
        <f t="shared" si="9"/>
        <v>0</v>
      </c>
      <c r="H37" s="381">
        <v>0.37</v>
      </c>
      <c r="I37" s="378">
        <f t="shared" si="7"/>
        <v>0</v>
      </c>
      <c r="J37" s="378">
        <f>I37*VLOOKUP($B$10,'Base Costs'!$A$32:$B$37,2,FALSE)</f>
        <v>0</v>
      </c>
      <c r="K37" s="379">
        <f t="shared" si="8"/>
        <v>0</v>
      </c>
      <c r="L37" s="813"/>
      <c r="M37" s="813"/>
      <c r="O37" s="1146"/>
      <c r="P37" s="1146"/>
      <c r="Q37" s="810"/>
      <c r="R37" s="810"/>
      <c r="S37" s="1149"/>
      <c r="T37" s="1149"/>
      <c r="U37" s="1149"/>
      <c r="V37" s="1149"/>
      <c r="W37" s="817"/>
      <c r="Y37" s="1149"/>
      <c r="Z37" s="1149"/>
      <c r="AA37" s="1149"/>
      <c r="AB37" s="1149"/>
      <c r="AC37" s="817"/>
      <c r="AE37" s="166"/>
    </row>
    <row r="38" spans="1:31" ht="15.75" customHeight="1" x14ac:dyDescent="0.2">
      <c r="A38" s="299">
        <v>266</v>
      </c>
      <c r="B38" s="269" t="s">
        <v>469</v>
      </c>
      <c r="C38" s="314"/>
      <c r="D38" s="1069"/>
      <c r="E38" s="269"/>
      <c r="F38" s="380">
        <f>'Base Costs'!AX52</f>
        <v>0</v>
      </c>
      <c r="G38" s="378">
        <f t="shared" si="9"/>
        <v>0</v>
      </c>
      <c r="H38" s="381">
        <v>0.37</v>
      </c>
      <c r="I38" s="378">
        <f t="shared" si="7"/>
        <v>0</v>
      </c>
      <c r="J38" s="834">
        <f>I38*VLOOKUP($B$10,'Base Costs'!$A$32:$B$37,2,FALSE)</f>
        <v>0</v>
      </c>
      <c r="K38" s="379">
        <f t="shared" si="8"/>
        <v>0</v>
      </c>
      <c r="L38" s="813"/>
      <c r="M38" s="813"/>
      <c r="N38" s="97" t="s">
        <v>1444</v>
      </c>
      <c r="O38" s="825"/>
      <c r="P38" s="825"/>
      <c r="Q38" s="810"/>
      <c r="R38" s="810"/>
      <c r="S38" s="185"/>
      <c r="T38" s="185"/>
      <c r="U38" s="185"/>
      <c r="V38" s="185"/>
      <c r="W38" s="817"/>
      <c r="Y38" s="185"/>
      <c r="Z38" s="185"/>
      <c r="AA38" s="185"/>
      <c r="AB38" s="185"/>
      <c r="AC38" s="817"/>
      <c r="AE38" s="166"/>
    </row>
    <row r="39" spans="1:31" ht="15.75" customHeight="1" x14ac:dyDescent="0.2">
      <c r="A39" s="299">
        <v>266</v>
      </c>
      <c r="B39" s="269" t="s">
        <v>470</v>
      </c>
      <c r="C39" s="314"/>
      <c r="D39" s="811"/>
      <c r="E39" s="269"/>
      <c r="F39" s="380">
        <f>'Base Costs'!AX53</f>
        <v>38.213000000000001</v>
      </c>
      <c r="G39" s="378">
        <f t="shared" si="9"/>
        <v>0</v>
      </c>
      <c r="H39" s="381">
        <v>0.37</v>
      </c>
      <c r="I39" s="378">
        <f t="shared" si="7"/>
        <v>0</v>
      </c>
      <c r="J39" s="378">
        <f>I39*VLOOKUP($B$10,'Base Costs'!$A$32:$B$37,2,FALSE)</f>
        <v>0</v>
      </c>
      <c r="K39" s="379">
        <f t="shared" si="8"/>
        <v>0</v>
      </c>
      <c r="L39" s="813"/>
      <c r="M39" s="813"/>
      <c r="O39" s="1146"/>
      <c r="P39" s="1146"/>
      <c r="Q39" s="810"/>
      <c r="R39" s="810"/>
      <c r="S39" s="1149"/>
      <c r="T39" s="1149"/>
      <c r="U39" s="1149"/>
      <c r="V39" s="1149"/>
      <c r="W39" s="817"/>
      <c r="Y39" s="1149"/>
      <c r="Z39" s="1149"/>
      <c r="AA39" s="1149"/>
      <c r="AB39" s="1149"/>
      <c r="AC39" s="817"/>
      <c r="AE39" s="166"/>
    </row>
    <row r="40" spans="1:31" ht="15.75" customHeight="1" x14ac:dyDescent="0.2">
      <c r="A40" s="299">
        <v>266</v>
      </c>
      <c r="B40" s="269" t="s">
        <v>917</v>
      </c>
      <c r="C40" s="314"/>
      <c r="D40" s="269"/>
      <c r="E40" s="269"/>
      <c r="F40" s="380">
        <f>IFERROR((VLOOKUP(D40,'Base Costs'!$AU$56:$AX$61,4,FALSE)),0)</f>
        <v>0</v>
      </c>
      <c r="G40" s="378">
        <f>C40*F40</f>
        <v>0</v>
      </c>
      <c r="H40" s="381">
        <v>0.37</v>
      </c>
      <c r="I40" s="378">
        <f t="shared" si="7"/>
        <v>0</v>
      </c>
      <c r="J40" s="378">
        <f>IFERROR((I40*VLOOKUP($B$10,'Base Costs'!$A$32:$B$37,2,FALSE)),0)</f>
        <v>0</v>
      </c>
      <c r="K40" s="379">
        <f>I40-G40</f>
        <v>0</v>
      </c>
      <c r="L40" s="813"/>
      <c r="M40" s="813"/>
      <c r="O40" s="1146"/>
      <c r="P40" s="1146"/>
      <c r="Q40" s="810"/>
      <c r="R40" s="810"/>
      <c r="S40" s="1149"/>
      <c r="T40" s="1149"/>
      <c r="U40" s="1149"/>
      <c r="V40" s="1149"/>
      <c r="W40" s="817"/>
      <c r="Y40" s="1149"/>
      <c r="Z40" s="1149"/>
      <c r="AA40" s="1149"/>
      <c r="AB40" s="1149"/>
      <c r="AC40" s="817"/>
      <c r="AE40" s="166"/>
    </row>
    <row r="41" spans="1:31" ht="15.75" customHeight="1" x14ac:dyDescent="0.2">
      <c r="A41" s="299">
        <v>266</v>
      </c>
      <c r="B41" s="269" t="s">
        <v>918</v>
      </c>
      <c r="C41" s="314"/>
      <c r="D41" s="269"/>
      <c r="E41" s="269"/>
      <c r="F41" s="380">
        <f>IFERROR((VLOOKUP(D41,'Base Costs'!$AU$56:$AX$61,4,FALSE)),0)</f>
        <v>0</v>
      </c>
      <c r="G41" s="378">
        <f t="shared" ref="G41:G47" si="10">C41*F41</f>
        <v>0</v>
      </c>
      <c r="H41" s="381">
        <v>0.37</v>
      </c>
      <c r="I41" s="378">
        <f t="shared" ref="I41:I47" si="11">G41/(1-H41)*(1+$C$10)</f>
        <v>0</v>
      </c>
      <c r="J41" s="378">
        <f>IFERROR((I41*VLOOKUP($B$10,'Base Costs'!$A$32:$B$37,2,FALSE)),0)</f>
        <v>0</v>
      </c>
      <c r="K41" s="379">
        <f t="shared" ref="K41:K47" si="12">I41-G41</f>
        <v>0</v>
      </c>
      <c r="L41" s="165"/>
      <c r="M41" s="165"/>
      <c r="O41" s="1146"/>
      <c r="P41" s="1146"/>
      <c r="Q41" s="810"/>
      <c r="R41" s="810"/>
      <c r="Y41" s="1150"/>
      <c r="Z41" s="1150"/>
      <c r="AA41" s="1150"/>
      <c r="AB41" s="1150"/>
      <c r="AC41" s="819"/>
      <c r="AE41" s="166"/>
    </row>
    <row r="42" spans="1:31" ht="15.75" customHeight="1" x14ac:dyDescent="0.2">
      <c r="B42" s="269" t="s">
        <v>919</v>
      </c>
      <c r="C42" s="314"/>
      <c r="D42" s="269"/>
      <c r="E42" s="269"/>
      <c r="F42" s="380">
        <f>IFERROR((VLOOKUP(D42,'Base Costs'!$AU$56:$AX$61,4,FALSE)),0)</f>
        <v>0</v>
      </c>
      <c r="G42" s="378">
        <f t="shared" si="10"/>
        <v>0</v>
      </c>
      <c r="H42" s="381">
        <v>0.37</v>
      </c>
      <c r="I42" s="378">
        <f t="shared" si="11"/>
        <v>0</v>
      </c>
      <c r="J42" s="378">
        <f>IFERROR((I42*VLOOKUP($B$10,'Base Costs'!$A$32:$B$37,2,FALSE)),0)</f>
        <v>0</v>
      </c>
      <c r="K42" s="379">
        <f t="shared" si="12"/>
        <v>0</v>
      </c>
      <c r="L42" s="814"/>
      <c r="M42" s="815"/>
      <c r="O42" s="816"/>
      <c r="P42" s="816"/>
      <c r="Q42" s="810"/>
      <c r="R42" s="810"/>
      <c r="Y42" s="818"/>
      <c r="Z42" s="818"/>
      <c r="AA42" s="818"/>
      <c r="AB42" s="818"/>
      <c r="AC42" s="819"/>
      <c r="AE42" s="166"/>
    </row>
    <row r="43" spans="1:31" ht="15.75" customHeight="1" x14ac:dyDescent="0.2">
      <c r="B43" s="269" t="s">
        <v>920</v>
      </c>
      <c r="C43" s="314"/>
      <c r="D43" s="269"/>
      <c r="E43" s="269"/>
      <c r="F43" s="380">
        <f>IFERROR((VLOOKUP(D43,'Base Costs'!$AU$56:$AX$61,4,FALSE)),0)</f>
        <v>0</v>
      </c>
      <c r="G43" s="378">
        <f t="shared" si="10"/>
        <v>0</v>
      </c>
      <c r="H43" s="381">
        <v>0.37</v>
      </c>
      <c r="I43" s="378">
        <f t="shared" si="11"/>
        <v>0</v>
      </c>
      <c r="J43" s="378">
        <f>IFERROR((I43*VLOOKUP($B$10,'Base Costs'!$A$32:$B$37,2,FALSE)),0)</f>
        <v>0</v>
      </c>
      <c r="K43" s="379">
        <f t="shared" si="12"/>
        <v>0</v>
      </c>
      <c r="L43" s="814"/>
      <c r="M43" s="815"/>
      <c r="O43" s="816"/>
      <c r="P43" s="816"/>
      <c r="Q43" s="810"/>
      <c r="R43" s="810"/>
      <c r="Y43" s="818"/>
      <c r="Z43" s="818"/>
      <c r="AA43" s="818"/>
      <c r="AB43" s="818"/>
      <c r="AC43" s="819"/>
      <c r="AE43" s="166"/>
    </row>
    <row r="44" spans="1:31" ht="15.75" customHeight="1" x14ac:dyDescent="0.2">
      <c r="B44" s="269" t="s">
        <v>921</v>
      </c>
      <c r="C44" s="314"/>
      <c r="D44" s="269"/>
      <c r="E44" s="269"/>
      <c r="F44" s="380">
        <f>IFERROR((VLOOKUP(D44,'Base Costs'!$AU$56:$AX$61,4,FALSE)),0)</f>
        <v>0</v>
      </c>
      <c r="G44" s="378">
        <f t="shared" si="10"/>
        <v>0</v>
      </c>
      <c r="H44" s="381">
        <v>0.37</v>
      </c>
      <c r="I44" s="378">
        <f t="shared" si="11"/>
        <v>0</v>
      </c>
      <c r="J44" s="378">
        <f>IFERROR((I44*VLOOKUP($B$10,'Base Costs'!$A$32:$B$37,2,FALSE)),0)</f>
        <v>0</v>
      </c>
      <c r="K44" s="379">
        <f t="shared" si="12"/>
        <v>0</v>
      </c>
      <c r="L44" s="814"/>
      <c r="M44" s="815"/>
      <c r="O44" s="816"/>
      <c r="P44" s="816"/>
      <c r="Q44" s="810"/>
      <c r="R44" s="810"/>
      <c r="Y44" s="818"/>
      <c r="Z44" s="818"/>
      <c r="AA44" s="818"/>
      <c r="AB44" s="818"/>
      <c r="AC44" s="819"/>
      <c r="AE44" s="166"/>
    </row>
    <row r="45" spans="1:31" ht="15.75" customHeight="1" x14ac:dyDescent="0.2">
      <c r="B45" s="269" t="s">
        <v>922</v>
      </c>
      <c r="C45" s="314"/>
      <c r="D45" s="269"/>
      <c r="E45" s="269"/>
      <c r="F45" s="380">
        <f>IFERROR((VLOOKUP(D45,'Base Costs'!$AU$56:$AX$61,4,FALSE)),0)</f>
        <v>0</v>
      </c>
      <c r="G45" s="378">
        <f t="shared" si="10"/>
        <v>0</v>
      </c>
      <c r="H45" s="381">
        <v>0.37</v>
      </c>
      <c r="I45" s="378">
        <f t="shared" si="11"/>
        <v>0</v>
      </c>
      <c r="J45" s="378">
        <f>IFERROR((I45*VLOOKUP($B$10,'Base Costs'!$A$32:$B$37,2,FALSE)),0)</f>
        <v>0</v>
      </c>
      <c r="K45" s="379">
        <f t="shared" si="12"/>
        <v>0</v>
      </c>
      <c r="L45" s="814"/>
      <c r="M45" s="815"/>
      <c r="O45" s="816"/>
      <c r="P45" s="816"/>
      <c r="Q45" s="810"/>
      <c r="R45" s="810"/>
      <c r="Y45" s="818"/>
      <c r="Z45" s="818"/>
      <c r="AA45" s="818"/>
      <c r="AB45" s="818"/>
      <c r="AC45" s="819"/>
      <c r="AE45" s="166"/>
    </row>
    <row r="46" spans="1:31" ht="15.75" customHeight="1" x14ac:dyDescent="0.2">
      <c r="B46" s="269" t="s">
        <v>923</v>
      </c>
      <c r="C46" s="314"/>
      <c r="D46" s="269"/>
      <c r="E46" s="269"/>
      <c r="F46" s="380">
        <f>IFERROR((VLOOKUP(D46,'Base Costs'!$AU$56:$AX$61,4,FALSE)),0)</f>
        <v>0</v>
      </c>
      <c r="G46" s="378">
        <f t="shared" si="10"/>
        <v>0</v>
      </c>
      <c r="H46" s="381">
        <v>0.37</v>
      </c>
      <c r="I46" s="378">
        <f t="shared" si="11"/>
        <v>0</v>
      </c>
      <c r="J46" s="378">
        <f>IFERROR((I46*VLOOKUP($B$10,'Base Costs'!$A$32:$B$37,2,FALSE)),0)</f>
        <v>0</v>
      </c>
      <c r="K46" s="379">
        <f t="shared" si="12"/>
        <v>0</v>
      </c>
      <c r="L46" s="814"/>
      <c r="M46" s="815"/>
      <c r="O46" s="816"/>
      <c r="P46" s="816"/>
      <c r="Q46" s="810"/>
      <c r="R46" s="810"/>
      <c r="Y46" s="818"/>
      <c r="Z46" s="818"/>
      <c r="AA46" s="818"/>
      <c r="AB46" s="818"/>
      <c r="AC46" s="819"/>
      <c r="AE46" s="166"/>
    </row>
    <row r="47" spans="1:31" ht="15.75" customHeight="1" x14ac:dyDescent="0.2">
      <c r="B47" s="269" t="s">
        <v>924</v>
      </c>
      <c r="C47" s="314"/>
      <c r="D47" s="269"/>
      <c r="E47" s="269"/>
      <c r="F47" s="380">
        <f>IFERROR((VLOOKUP(D47,'Base Costs'!$AU$56:$AX$61,4,FALSE)),0)</f>
        <v>0</v>
      </c>
      <c r="G47" s="378">
        <f t="shared" si="10"/>
        <v>0</v>
      </c>
      <c r="H47" s="381">
        <v>0.37</v>
      </c>
      <c r="I47" s="378">
        <f t="shared" si="11"/>
        <v>0</v>
      </c>
      <c r="J47" s="378">
        <f>IFERROR((I47*VLOOKUP($B$10,'Base Costs'!$A$32:$B$37,2,FALSE)),0)</f>
        <v>0</v>
      </c>
      <c r="K47" s="379">
        <f t="shared" si="12"/>
        <v>0</v>
      </c>
      <c r="L47" s="165"/>
      <c r="M47" s="165"/>
      <c r="O47" s="816"/>
      <c r="P47" s="816"/>
      <c r="Q47" s="810"/>
      <c r="R47" s="810"/>
      <c r="Y47" s="818"/>
      <c r="Z47" s="818"/>
      <c r="AA47" s="818"/>
      <c r="AB47" s="818"/>
      <c r="AC47" s="819"/>
      <c r="AE47" s="166"/>
    </row>
    <row r="48" spans="1:31" ht="15.75" customHeight="1" x14ac:dyDescent="0.2">
      <c r="B48" s="269"/>
      <c r="C48" s="314"/>
      <c r="D48" s="269"/>
      <c r="E48" s="269"/>
      <c r="F48" s="380"/>
      <c r="G48" s="378"/>
      <c r="H48" s="381"/>
      <c r="I48" s="378"/>
      <c r="J48" s="378"/>
      <c r="K48" s="379"/>
      <c r="L48" s="165"/>
      <c r="M48" s="165"/>
      <c r="O48" s="816"/>
      <c r="P48" s="816"/>
      <c r="Q48" s="810"/>
      <c r="R48" s="810"/>
      <c r="Y48" s="818"/>
      <c r="Z48" s="818"/>
      <c r="AA48" s="818"/>
      <c r="AB48" s="818"/>
      <c r="AC48" s="819"/>
      <c r="AE48" s="166"/>
    </row>
    <row r="49" spans="1:29" ht="15.75" customHeight="1" x14ac:dyDescent="0.2">
      <c r="A49" s="299">
        <v>266</v>
      </c>
      <c r="B49" s="269" t="s">
        <v>925</v>
      </c>
      <c r="C49" s="314"/>
      <c r="D49" s="269"/>
      <c r="E49" s="269"/>
      <c r="F49" s="380">
        <f>IFERROR((VLOOKUP(D49,'Base Costs'!$AU$65:$AX$72,4,FALSE)),0)</f>
        <v>0</v>
      </c>
      <c r="G49" s="378">
        <f>C49*F49</f>
        <v>0</v>
      </c>
      <c r="H49" s="381">
        <v>0.37</v>
      </c>
      <c r="I49" s="378">
        <f>G49/(1-H49)*(1+$C$10)</f>
        <v>0</v>
      </c>
      <c r="J49" s="378">
        <f>IFERROR((I49*VLOOKUP($B$10,'Base Costs'!$A$32:$B$37,2,FALSE)),0)</f>
        <v>0</v>
      </c>
      <c r="K49" s="379">
        <f>I49-G49</f>
        <v>0</v>
      </c>
      <c r="L49" s="814">
        <f>IFERROR((VLOOKUP(D49,'Base Costs'!$AU$65:$BA$72,7,FALSE)),0)</f>
        <v>0</v>
      </c>
      <c r="M49" s="815">
        <f>L49*C49</f>
        <v>0</v>
      </c>
      <c r="N49" s="469"/>
      <c r="O49" s="1146"/>
      <c r="P49" s="1146"/>
      <c r="Q49" s="810"/>
      <c r="R49" s="810"/>
      <c r="Y49" s="1150"/>
      <c r="Z49" s="1150"/>
      <c r="AA49" s="1150"/>
      <c r="AB49" s="1150"/>
      <c r="AC49" s="819"/>
    </row>
    <row r="50" spans="1:29" ht="15.75" customHeight="1" x14ac:dyDescent="0.2">
      <c r="B50" s="269" t="s">
        <v>926</v>
      </c>
      <c r="C50" s="314"/>
      <c r="D50" s="269"/>
      <c r="E50" s="269"/>
      <c r="F50" s="380">
        <f>IFERROR((VLOOKUP(D50,'Base Costs'!$AU$65:$AX$72,4,FALSE)),0)</f>
        <v>0</v>
      </c>
      <c r="G50" s="378">
        <f t="shared" ref="G50:G56" si="13">C50*F50</f>
        <v>0</v>
      </c>
      <c r="H50" s="381">
        <v>0.37</v>
      </c>
      <c r="I50" s="378">
        <f t="shared" ref="I50:I56" si="14">G50/(1-H50)*(1+$C$10)</f>
        <v>0</v>
      </c>
      <c r="J50" s="378">
        <f>IFERROR((I50*VLOOKUP($B$10,'Base Costs'!$A$32:$B$37,2,FALSE)),0)</f>
        <v>0</v>
      </c>
      <c r="K50" s="379">
        <f t="shared" ref="K50:K56" si="15">I50-G50</f>
        <v>0</v>
      </c>
      <c r="L50" s="814">
        <f>IFERROR((VLOOKUP(D50,'Base Costs'!$AU$65:$BA$72,7,FALSE)),0)</f>
        <v>0</v>
      </c>
      <c r="M50" s="815">
        <f t="shared" ref="M50:M56" si="16">L50*C50</f>
        <v>0</v>
      </c>
      <c r="N50" s="469"/>
      <c r="O50" s="816"/>
      <c r="P50" s="816"/>
      <c r="Q50" s="810"/>
      <c r="R50" s="810"/>
      <c r="Y50" s="818"/>
      <c r="Z50" s="818"/>
      <c r="AA50" s="818"/>
      <c r="AB50" s="818"/>
      <c r="AC50" s="819"/>
    </row>
    <row r="51" spans="1:29" ht="15.75" customHeight="1" x14ac:dyDescent="0.2">
      <c r="B51" s="269" t="s">
        <v>927</v>
      </c>
      <c r="C51" s="314"/>
      <c r="D51" s="269"/>
      <c r="E51" s="269"/>
      <c r="F51" s="380">
        <f>IFERROR((VLOOKUP(D51,'Base Costs'!$AU$65:$AX$72,4,FALSE)),0)</f>
        <v>0</v>
      </c>
      <c r="G51" s="378">
        <f t="shared" si="13"/>
        <v>0</v>
      </c>
      <c r="H51" s="381">
        <v>0.37</v>
      </c>
      <c r="I51" s="378">
        <f t="shared" si="14"/>
        <v>0</v>
      </c>
      <c r="J51" s="378">
        <f>IFERROR((I51*VLOOKUP($B$10,'Base Costs'!$A$32:$B$37,2,FALSE)),0)</f>
        <v>0</v>
      </c>
      <c r="K51" s="379">
        <f t="shared" si="15"/>
        <v>0</v>
      </c>
      <c r="L51" s="814">
        <f>IFERROR((VLOOKUP(D51,'Base Costs'!$AU$65:$BA$72,7,FALSE)),0)</f>
        <v>0</v>
      </c>
      <c r="M51" s="815">
        <f t="shared" si="16"/>
        <v>0</v>
      </c>
      <c r="N51" s="469"/>
      <c r="O51" s="816"/>
      <c r="P51" s="816"/>
      <c r="Q51" s="810"/>
      <c r="R51" s="810"/>
      <c r="Y51" s="818"/>
      <c r="Z51" s="818"/>
      <c r="AA51" s="818"/>
      <c r="AB51" s="818"/>
      <c r="AC51" s="819"/>
    </row>
    <row r="52" spans="1:29" ht="15.75" customHeight="1" x14ac:dyDescent="0.2">
      <c r="B52" s="269" t="s">
        <v>928</v>
      </c>
      <c r="C52" s="314"/>
      <c r="D52" s="269"/>
      <c r="E52" s="269"/>
      <c r="F52" s="380">
        <f>IFERROR((VLOOKUP(D52,'Base Costs'!$AU$65:$AX$72,4,FALSE)),0)</f>
        <v>0</v>
      </c>
      <c r="G52" s="378">
        <f t="shared" si="13"/>
        <v>0</v>
      </c>
      <c r="H52" s="381">
        <v>0.37</v>
      </c>
      <c r="I52" s="378">
        <f t="shared" si="14"/>
        <v>0</v>
      </c>
      <c r="J52" s="378">
        <f>IFERROR((I52*VLOOKUP($B$10,'Base Costs'!$A$32:$B$37,2,FALSE)),0)</f>
        <v>0</v>
      </c>
      <c r="K52" s="379">
        <f t="shared" si="15"/>
        <v>0</v>
      </c>
      <c r="L52" s="814">
        <f>IFERROR((VLOOKUP(D52,'Base Costs'!$AU$65:$BA$72,7,FALSE)),0)</f>
        <v>0</v>
      </c>
      <c r="M52" s="815">
        <f t="shared" si="16"/>
        <v>0</v>
      </c>
      <c r="N52" s="469"/>
      <c r="O52" s="816"/>
      <c r="P52" s="816"/>
      <c r="Q52" s="810"/>
      <c r="R52" s="810"/>
      <c r="Y52" s="818"/>
      <c r="Z52" s="818"/>
      <c r="AA52" s="818"/>
      <c r="AB52" s="818"/>
      <c r="AC52" s="819"/>
    </row>
    <row r="53" spans="1:29" ht="15.75" customHeight="1" x14ac:dyDescent="0.2">
      <c r="B53" s="269" t="s">
        <v>929</v>
      </c>
      <c r="C53" s="314"/>
      <c r="D53" s="269"/>
      <c r="E53" s="269"/>
      <c r="F53" s="380">
        <f>IFERROR((VLOOKUP(D53,'Base Costs'!$AU$65:$AX$72,4,FALSE)),0)</f>
        <v>0</v>
      </c>
      <c r="G53" s="378">
        <f t="shared" si="13"/>
        <v>0</v>
      </c>
      <c r="H53" s="381">
        <v>0.37</v>
      </c>
      <c r="I53" s="378">
        <f t="shared" si="14"/>
        <v>0</v>
      </c>
      <c r="J53" s="378">
        <f>IFERROR((I53*VLOOKUP($B$10,'Base Costs'!$A$32:$B$37,2,FALSE)),0)</f>
        <v>0</v>
      </c>
      <c r="K53" s="379">
        <f t="shared" si="15"/>
        <v>0</v>
      </c>
      <c r="L53" s="814">
        <f>IFERROR((VLOOKUP(D53,'Base Costs'!$AU$65:$BA$72,7,FALSE)),0)</f>
        <v>0</v>
      </c>
      <c r="M53" s="815">
        <f t="shared" si="16"/>
        <v>0</v>
      </c>
      <c r="N53" s="469"/>
      <c r="O53" s="816"/>
      <c r="P53" s="816"/>
      <c r="Q53" s="810"/>
      <c r="R53" s="810"/>
      <c r="Y53" s="818"/>
      <c r="Z53" s="818"/>
      <c r="AA53" s="818"/>
      <c r="AB53" s="818"/>
      <c r="AC53" s="819"/>
    </row>
    <row r="54" spans="1:29" ht="15.75" customHeight="1" x14ac:dyDescent="0.2">
      <c r="B54" s="269" t="s">
        <v>930</v>
      </c>
      <c r="C54" s="314"/>
      <c r="D54" s="269"/>
      <c r="E54" s="269"/>
      <c r="F54" s="380">
        <f>IFERROR((VLOOKUP(D54,'Base Costs'!$AU$65:$AX$72,4,FALSE)),0)</f>
        <v>0</v>
      </c>
      <c r="G54" s="378">
        <f t="shared" si="13"/>
        <v>0</v>
      </c>
      <c r="H54" s="381">
        <v>0.37</v>
      </c>
      <c r="I54" s="378">
        <f t="shared" si="14"/>
        <v>0</v>
      </c>
      <c r="J54" s="378">
        <f>IFERROR((I54*VLOOKUP($B$10,'Base Costs'!$A$32:$B$37,2,FALSE)),0)</f>
        <v>0</v>
      </c>
      <c r="K54" s="379">
        <f t="shared" si="15"/>
        <v>0</v>
      </c>
      <c r="L54" s="814">
        <f>IFERROR((VLOOKUP(D54,'Base Costs'!$AU$65:$BA$72,7,FALSE)),0)</f>
        <v>0</v>
      </c>
      <c r="M54" s="815">
        <f t="shared" si="16"/>
        <v>0</v>
      </c>
      <c r="N54" s="469"/>
      <c r="O54" s="816"/>
      <c r="P54" s="816"/>
      <c r="Q54" s="810"/>
      <c r="R54" s="810"/>
      <c r="Y54" s="818"/>
      <c r="Z54" s="818"/>
      <c r="AA54" s="818"/>
      <c r="AB54" s="818"/>
      <c r="AC54" s="819"/>
    </row>
    <row r="55" spans="1:29" ht="15.75" customHeight="1" x14ac:dyDescent="0.2">
      <c r="B55" s="269" t="s">
        <v>931</v>
      </c>
      <c r="C55" s="314"/>
      <c r="D55" s="269"/>
      <c r="E55" s="269"/>
      <c r="F55" s="380">
        <f>IFERROR((VLOOKUP(D55,'Base Costs'!$AU$65:$AX$72,4,FALSE)),0)</f>
        <v>0</v>
      </c>
      <c r="G55" s="378">
        <f t="shared" si="13"/>
        <v>0</v>
      </c>
      <c r="H55" s="381">
        <v>0.37</v>
      </c>
      <c r="I55" s="378">
        <f t="shared" si="14"/>
        <v>0</v>
      </c>
      <c r="J55" s="378">
        <f>IFERROR((I55*VLOOKUP($B$10,'Base Costs'!$A$32:$B$37,2,FALSE)),0)</f>
        <v>0</v>
      </c>
      <c r="K55" s="379">
        <f t="shared" si="15"/>
        <v>0</v>
      </c>
      <c r="L55" s="814">
        <f>IFERROR((VLOOKUP(D55,'Base Costs'!$AU$65:$BA$72,7,FALSE)),0)</f>
        <v>0</v>
      </c>
      <c r="M55" s="815">
        <f t="shared" si="16"/>
        <v>0</v>
      </c>
      <c r="N55" s="469"/>
      <c r="O55" s="816"/>
      <c r="P55" s="816"/>
      <c r="Q55" s="810"/>
      <c r="R55" s="810"/>
      <c r="Y55" s="818"/>
      <c r="Z55" s="818"/>
      <c r="AA55" s="818"/>
      <c r="AB55" s="818"/>
      <c r="AC55" s="819"/>
    </row>
    <row r="56" spans="1:29" ht="15.75" customHeight="1" x14ac:dyDescent="0.2">
      <c r="A56" s="299">
        <v>266</v>
      </c>
      <c r="B56" s="269" t="s">
        <v>932</v>
      </c>
      <c r="C56" s="314"/>
      <c r="D56" s="269"/>
      <c r="E56" s="269"/>
      <c r="F56" s="380">
        <f>IFERROR((VLOOKUP(D56,'Base Costs'!$AU$65:$AX$72,4,FALSE)),0)</f>
        <v>0</v>
      </c>
      <c r="G56" s="378">
        <f t="shared" si="13"/>
        <v>0</v>
      </c>
      <c r="H56" s="381">
        <v>0.37</v>
      </c>
      <c r="I56" s="378">
        <f t="shared" si="14"/>
        <v>0</v>
      </c>
      <c r="J56" s="378">
        <f>IFERROR((I56*VLOOKUP($B$10,'Base Costs'!$A$32:$B$37,2,FALSE)),0)</f>
        <v>0</v>
      </c>
      <c r="K56" s="379">
        <f t="shared" si="15"/>
        <v>0</v>
      </c>
      <c r="L56" s="814">
        <f>IFERROR((VLOOKUP(D56,'Base Costs'!$AU$65:$BA$72,7,FALSE)),0)</f>
        <v>0</v>
      </c>
      <c r="M56" s="815">
        <f t="shared" si="16"/>
        <v>0</v>
      </c>
      <c r="N56" s="469"/>
      <c r="O56" s="1146"/>
      <c r="P56" s="1146"/>
      <c r="Q56" s="810"/>
      <c r="R56" s="810"/>
      <c r="Y56" s="166"/>
    </row>
    <row r="57" spans="1:29" ht="15.75" customHeight="1" x14ac:dyDescent="0.2">
      <c r="A57" s="299">
        <v>266</v>
      </c>
      <c r="B57" s="269"/>
      <c r="C57" s="314"/>
      <c r="D57" s="269"/>
      <c r="E57" s="269"/>
      <c r="F57" s="380">
        <f>'Base Costs'!AX77</f>
        <v>0</v>
      </c>
      <c r="G57" s="378">
        <f t="shared" si="9"/>
        <v>0</v>
      </c>
      <c r="H57" s="381">
        <v>0.37</v>
      </c>
      <c r="I57" s="378">
        <f t="shared" si="7"/>
        <v>0</v>
      </c>
      <c r="J57" s="378">
        <f>I57*VLOOKUP($B$10,'Base Costs'!$A$32:$B$37,2,FALSE)</f>
        <v>0</v>
      </c>
      <c r="K57" s="379">
        <f t="shared" si="8"/>
        <v>0</v>
      </c>
      <c r="L57" s="469"/>
      <c r="M57" s="469"/>
      <c r="N57" s="469"/>
      <c r="O57" s="1146"/>
      <c r="P57" s="1146"/>
      <c r="Q57" s="810"/>
      <c r="R57" s="810"/>
      <c r="Y57" s="166"/>
    </row>
    <row r="58" spans="1:29" ht="15.75" customHeight="1" x14ac:dyDescent="0.2">
      <c r="A58" s="299">
        <v>266</v>
      </c>
      <c r="B58" s="269"/>
      <c r="C58" s="314"/>
      <c r="D58" s="269"/>
      <c r="E58" s="269"/>
      <c r="F58" s="380">
        <f>'Base Costs'!AX78</f>
        <v>0</v>
      </c>
      <c r="G58" s="378">
        <f t="shared" si="9"/>
        <v>0</v>
      </c>
      <c r="H58" s="381">
        <v>0.37</v>
      </c>
      <c r="I58" s="378">
        <f t="shared" si="7"/>
        <v>0</v>
      </c>
      <c r="J58" s="378">
        <f>I58*VLOOKUP($B$10,'Base Costs'!$A$32:$B$37,2,FALSE)</f>
        <v>0</v>
      </c>
      <c r="K58" s="379">
        <f t="shared" si="8"/>
        <v>0</v>
      </c>
      <c r="L58" s="469"/>
      <c r="M58" s="469"/>
      <c r="N58" s="469"/>
      <c r="O58" s="1146"/>
      <c r="P58" s="1146"/>
      <c r="Q58" s="810"/>
      <c r="R58" s="810"/>
      <c r="Y58" s="166"/>
    </row>
    <row r="59" spans="1:29" ht="15.75" customHeight="1" x14ac:dyDescent="0.2">
      <c r="A59" s="299">
        <v>266</v>
      </c>
      <c r="B59" s="269"/>
      <c r="C59" s="314"/>
      <c r="D59" s="269"/>
      <c r="E59" s="269"/>
      <c r="F59" s="380">
        <f>'Base Costs'!AX79</f>
        <v>0</v>
      </c>
      <c r="G59" s="378">
        <f t="shared" si="9"/>
        <v>0</v>
      </c>
      <c r="H59" s="381">
        <v>0.37</v>
      </c>
      <c r="I59" s="378">
        <f t="shared" si="7"/>
        <v>0</v>
      </c>
      <c r="J59" s="378">
        <f>I59*VLOOKUP($B$10,'Base Costs'!$A$32:$B$37,2,FALSE)</f>
        <v>0</v>
      </c>
      <c r="K59" s="379">
        <f t="shared" si="8"/>
        <v>0</v>
      </c>
      <c r="L59" s="469"/>
      <c r="M59" s="469"/>
      <c r="N59" s="469"/>
      <c r="O59" s="1146"/>
      <c r="P59" s="1146"/>
      <c r="Q59" s="810"/>
      <c r="R59" s="810"/>
      <c r="AC59" s="820"/>
    </row>
    <row r="60" spans="1:29" ht="15.75" customHeight="1" x14ac:dyDescent="0.2">
      <c r="A60" s="299">
        <v>266</v>
      </c>
      <c r="B60" s="269"/>
      <c r="C60" s="314"/>
      <c r="D60" s="269"/>
      <c r="E60" s="269"/>
      <c r="F60" s="380">
        <f>'Base Costs'!AX80</f>
        <v>0</v>
      </c>
      <c r="G60" s="378">
        <f t="shared" si="9"/>
        <v>0</v>
      </c>
      <c r="H60" s="381">
        <v>0.37</v>
      </c>
      <c r="I60" s="378">
        <f t="shared" si="7"/>
        <v>0</v>
      </c>
      <c r="J60" s="378">
        <f>I60*VLOOKUP($B$10,'Base Costs'!$A$32:$B$37,2,FALSE)</f>
        <v>0</v>
      </c>
      <c r="K60" s="379">
        <f t="shared" si="8"/>
        <v>0</v>
      </c>
      <c r="L60" s="469"/>
      <c r="M60" s="469"/>
      <c r="N60" s="469"/>
      <c r="O60" s="1146"/>
      <c r="P60" s="1146"/>
      <c r="Q60" s="810"/>
      <c r="R60" s="810"/>
    </row>
    <row r="61" spans="1:29" ht="15.75" customHeight="1" x14ac:dyDescent="0.2">
      <c r="A61" s="299">
        <v>266</v>
      </c>
      <c r="B61" s="269"/>
      <c r="C61" s="314"/>
      <c r="D61" s="269"/>
      <c r="E61" s="269"/>
      <c r="F61" s="380">
        <f>'Base Costs'!AX81</f>
        <v>0</v>
      </c>
      <c r="G61" s="378">
        <f t="shared" si="9"/>
        <v>0</v>
      </c>
      <c r="H61" s="381">
        <v>0.37</v>
      </c>
      <c r="I61" s="378">
        <f t="shared" si="7"/>
        <v>0</v>
      </c>
      <c r="J61" s="378">
        <f>I61*VLOOKUP($B$10,'Base Costs'!$A$32:$B$37,2,FALSE)</f>
        <v>0</v>
      </c>
      <c r="K61" s="379">
        <f t="shared" si="8"/>
        <v>0</v>
      </c>
      <c r="L61" s="469"/>
      <c r="M61" s="469"/>
      <c r="N61" s="469"/>
      <c r="O61" s="1146"/>
      <c r="P61" s="1146"/>
      <c r="Q61" s="810"/>
      <c r="R61" s="810"/>
    </row>
    <row r="62" spans="1:29" ht="15.75" customHeight="1" x14ac:dyDescent="0.2">
      <c r="A62" s="299">
        <v>266</v>
      </c>
      <c r="B62" s="269"/>
      <c r="C62" s="314"/>
      <c r="D62" s="269"/>
      <c r="E62" s="269"/>
      <c r="F62" s="380">
        <f>'Base Costs'!AX82</f>
        <v>0</v>
      </c>
      <c r="G62" s="378">
        <f t="shared" si="9"/>
        <v>0</v>
      </c>
      <c r="H62" s="381">
        <v>0.37</v>
      </c>
      <c r="I62" s="378">
        <f t="shared" si="7"/>
        <v>0</v>
      </c>
      <c r="J62" s="378">
        <f>I62*VLOOKUP($B$10,'Base Costs'!$A$32:$B$37,2,FALSE)</f>
        <v>0</v>
      </c>
      <c r="K62" s="379">
        <f t="shared" si="8"/>
        <v>0</v>
      </c>
      <c r="L62" s="469"/>
      <c r="M62" s="469"/>
      <c r="N62" s="469"/>
      <c r="O62" s="1146"/>
      <c r="P62" s="1146"/>
      <c r="Q62" s="810"/>
      <c r="R62" s="810"/>
    </row>
    <row r="63" spans="1:29" ht="15.75" customHeight="1" x14ac:dyDescent="0.2">
      <c r="A63" s="299">
        <v>266</v>
      </c>
      <c r="B63" s="269"/>
      <c r="C63" s="314"/>
      <c r="D63" s="269"/>
      <c r="E63" s="269"/>
      <c r="F63" s="380">
        <f>'Base Costs'!AX83</f>
        <v>0</v>
      </c>
      <c r="G63" s="378">
        <f t="shared" si="9"/>
        <v>0</v>
      </c>
      <c r="H63" s="381">
        <v>0.37</v>
      </c>
      <c r="I63" s="378">
        <f t="shared" si="7"/>
        <v>0</v>
      </c>
      <c r="J63" s="378">
        <f>I63*VLOOKUP($B$10,'Base Costs'!$A$32:$B$37,2,FALSE)</f>
        <v>0</v>
      </c>
      <c r="K63" s="379">
        <f t="shared" si="8"/>
        <v>0</v>
      </c>
      <c r="L63" s="469"/>
      <c r="M63" s="469"/>
      <c r="N63" s="469"/>
      <c r="O63" s="1146"/>
      <c r="P63" s="1146"/>
      <c r="Q63" s="810"/>
      <c r="R63" s="810"/>
    </row>
    <row r="64" spans="1:29" ht="15.75" customHeight="1" x14ac:dyDescent="0.2">
      <c r="A64" s="299">
        <v>266</v>
      </c>
      <c r="B64" s="269"/>
      <c r="C64" s="314"/>
      <c r="D64" s="269"/>
      <c r="E64" s="269"/>
      <c r="F64" s="380">
        <f>'Base Costs'!AX84</f>
        <v>0</v>
      </c>
      <c r="G64" s="378">
        <f t="shared" si="9"/>
        <v>0</v>
      </c>
      <c r="H64" s="381">
        <v>0.37</v>
      </c>
      <c r="I64" s="378">
        <f t="shared" si="7"/>
        <v>0</v>
      </c>
      <c r="J64" s="378">
        <f>I64*VLOOKUP($B$10,'Base Costs'!$A$32:$B$37,2,FALSE)</f>
        <v>0</v>
      </c>
      <c r="K64" s="379">
        <f t="shared" si="8"/>
        <v>0</v>
      </c>
      <c r="L64" s="469"/>
      <c r="M64" s="469"/>
      <c r="N64" s="469"/>
      <c r="O64" s="1146"/>
      <c r="P64" s="1146"/>
      <c r="Q64" s="810"/>
      <c r="R64" s="810"/>
    </row>
    <row r="65" spans="1:18" ht="15.75" customHeight="1" x14ac:dyDescent="0.2">
      <c r="A65" s="299">
        <v>266</v>
      </c>
      <c r="B65" s="269" t="s">
        <v>473</v>
      </c>
      <c r="C65" s="314"/>
      <c r="D65" s="269" t="s">
        <v>493</v>
      </c>
      <c r="E65" s="269"/>
      <c r="F65" s="380">
        <f>'Base Costs'!AX85</f>
        <v>90.619399999999999</v>
      </c>
      <c r="G65" s="378">
        <f t="shared" si="9"/>
        <v>0</v>
      </c>
      <c r="H65" s="381">
        <v>0.37</v>
      </c>
      <c r="I65" s="378">
        <f t="shared" si="7"/>
        <v>0</v>
      </c>
      <c r="J65" s="378">
        <f>I65*VLOOKUP($B$10,'Base Costs'!$A$32:$B$37,2,FALSE)</f>
        <v>0</v>
      </c>
      <c r="K65" s="379">
        <f t="shared" si="8"/>
        <v>0</v>
      </c>
      <c r="L65" s="469"/>
      <c r="M65" s="469"/>
      <c r="N65" s="469"/>
      <c r="O65" s="1146"/>
      <c r="P65" s="1146"/>
      <c r="Q65" s="810"/>
      <c r="R65" s="810"/>
    </row>
    <row r="66" spans="1:18" ht="15.75" customHeight="1" x14ac:dyDescent="0.2">
      <c r="A66" s="299">
        <v>266</v>
      </c>
      <c r="B66" s="269" t="s">
        <v>474</v>
      </c>
      <c r="C66" s="314"/>
      <c r="D66" s="269" t="s">
        <v>437</v>
      </c>
      <c r="E66" s="269"/>
      <c r="F66" s="380">
        <f>'Base Costs'!AX86</f>
        <v>40.396599999999999</v>
      </c>
      <c r="G66" s="378">
        <f t="shared" si="9"/>
        <v>0</v>
      </c>
      <c r="H66" s="381">
        <v>0.37</v>
      </c>
      <c r="I66" s="378">
        <f t="shared" si="7"/>
        <v>0</v>
      </c>
      <c r="J66" s="378">
        <f>I66*VLOOKUP($B$10,'Base Costs'!$A$32:$B$37,2,FALSE)</f>
        <v>0</v>
      </c>
      <c r="K66" s="379">
        <f t="shared" si="8"/>
        <v>0</v>
      </c>
      <c r="L66" s="469"/>
      <c r="M66" s="469"/>
      <c r="N66" s="469"/>
      <c r="O66" s="1146"/>
      <c r="P66" s="1146"/>
      <c r="Q66" s="810"/>
      <c r="R66" s="810"/>
    </row>
    <row r="67" spans="1:18" ht="15.75" customHeight="1" x14ac:dyDescent="0.2">
      <c r="A67" s="299">
        <v>266</v>
      </c>
      <c r="B67" s="269" t="s">
        <v>35</v>
      </c>
      <c r="C67" s="314"/>
      <c r="D67" s="269" t="s">
        <v>494</v>
      </c>
      <c r="E67" s="269"/>
      <c r="F67" s="380">
        <f>'Base Costs'!AX87</f>
        <v>836.34</v>
      </c>
      <c r="G67" s="378">
        <f t="shared" si="9"/>
        <v>0</v>
      </c>
      <c r="H67" s="381">
        <v>0.37</v>
      </c>
      <c r="I67" s="378">
        <f t="shared" si="7"/>
        <v>0</v>
      </c>
      <c r="J67" s="378">
        <f>I67*VLOOKUP($B$10,'Base Costs'!$A$32:$B$37,2,FALSE)</f>
        <v>0</v>
      </c>
      <c r="K67" s="379">
        <f t="shared" si="8"/>
        <v>0</v>
      </c>
      <c r="L67" s="469"/>
      <c r="M67" s="469"/>
      <c r="N67" s="469"/>
      <c r="O67" s="1146"/>
      <c r="P67" s="1146"/>
      <c r="Q67" s="810"/>
      <c r="R67" s="810"/>
    </row>
    <row r="68" spans="1:18" ht="15.75" customHeight="1" x14ac:dyDescent="0.2">
      <c r="A68" s="299">
        <v>266</v>
      </c>
      <c r="B68" s="269" t="s">
        <v>473</v>
      </c>
      <c r="C68" s="314"/>
      <c r="D68" s="269" t="s">
        <v>495</v>
      </c>
      <c r="E68" s="269"/>
      <c r="F68" s="380">
        <f>'Base Costs'!AX88</f>
        <v>146.30120000000002</v>
      </c>
      <c r="G68" s="378">
        <f t="shared" si="9"/>
        <v>0</v>
      </c>
      <c r="H68" s="381">
        <v>0.37</v>
      </c>
      <c r="I68" s="378">
        <f t="shared" si="7"/>
        <v>0</v>
      </c>
      <c r="J68" s="378">
        <f>I68*VLOOKUP($B$10,'Base Costs'!$A$32:$B$37,2,FALSE)</f>
        <v>0</v>
      </c>
      <c r="K68" s="379">
        <f t="shared" si="8"/>
        <v>0</v>
      </c>
      <c r="L68" s="469"/>
      <c r="M68" s="469"/>
      <c r="N68" s="469"/>
      <c r="O68" s="1146"/>
      <c r="P68" s="1146"/>
      <c r="Q68" s="810"/>
      <c r="R68" s="810"/>
    </row>
    <row r="69" spans="1:18" ht="15.75" customHeight="1" x14ac:dyDescent="0.2">
      <c r="B69" s="190"/>
      <c r="C69" s="186"/>
      <c r="D69" s="190" t="s">
        <v>437</v>
      </c>
      <c r="E69" s="190"/>
      <c r="F69" s="190"/>
      <c r="G69" s="296"/>
      <c r="H69" s="297"/>
      <c r="I69" s="296"/>
      <c r="J69" s="296"/>
      <c r="K69" s="183"/>
      <c r="L69" s="469"/>
      <c r="M69" s="469"/>
      <c r="N69" s="469"/>
      <c r="O69" s="810"/>
      <c r="P69" s="810"/>
      <c r="Q69" s="810"/>
      <c r="R69" s="810"/>
    </row>
    <row r="70" spans="1:18" ht="15.75" customHeight="1" x14ac:dyDescent="0.2">
      <c r="B70" s="24" t="s">
        <v>55</v>
      </c>
      <c r="C70" s="192"/>
      <c r="D70" s="193" t="s">
        <v>437</v>
      </c>
      <c r="E70" s="193"/>
      <c r="F70" s="193"/>
      <c r="G70" s="61">
        <f>SUBTOTAL(9,G71:G82)</f>
        <v>0</v>
      </c>
      <c r="H70" s="39" t="str">
        <f>IF(G70=0,"-",K70/I70)</f>
        <v>-</v>
      </c>
      <c r="I70" s="61">
        <f t="shared" ref="I70:K70" si="17">SUBTOTAL(9,I71:I82)</f>
        <v>0</v>
      </c>
      <c r="J70" s="465">
        <f>SUBTOTAL(9,J71:J82)</f>
        <v>0</v>
      </c>
      <c r="K70" s="61">
        <f t="shared" si="17"/>
        <v>0</v>
      </c>
      <c r="L70" s="469"/>
      <c r="M70" s="469"/>
      <c r="N70" s="469"/>
      <c r="O70" s="810"/>
      <c r="P70" s="810"/>
      <c r="Q70" s="810"/>
      <c r="R70" s="810"/>
    </row>
    <row r="71" spans="1:18" ht="15.75" customHeight="1" x14ac:dyDescent="0.2">
      <c r="A71" s="299">
        <v>269</v>
      </c>
      <c r="B71" s="269" t="s">
        <v>21</v>
      </c>
      <c r="C71" s="314"/>
      <c r="D71" s="269" t="s">
        <v>496</v>
      </c>
      <c r="E71" s="269"/>
      <c r="F71" s="380">
        <f>'Base Costs'!AX90</f>
        <v>422.53720000000004</v>
      </c>
      <c r="G71" s="378">
        <f>C71*F71</f>
        <v>0</v>
      </c>
      <c r="H71" s="381">
        <v>0.37</v>
      </c>
      <c r="I71" s="378">
        <f t="shared" ref="I71:I82" si="18">G71/(1-H71)*(1+$C$10)</f>
        <v>0</v>
      </c>
      <c r="J71" s="378">
        <f>I71*VLOOKUP($B$10,'Base Costs'!$A$32:$B$37,2,FALSE)</f>
        <v>0</v>
      </c>
      <c r="K71" s="379">
        <f t="shared" ref="K71:K82" si="19">I71-G71</f>
        <v>0</v>
      </c>
      <c r="L71" s="469"/>
      <c r="M71" s="469"/>
      <c r="N71" s="469"/>
      <c r="Q71" s="164"/>
      <c r="R71" s="164"/>
    </row>
    <row r="72" spans="1:18" ht="15.75" customHeight="1" x14ac:dyDescent="0.2">
      <c r="A72" s="299">
        <v>269</v>
      </c>
      <c r="B72" s="269" t="s">
        <v>21</v>
      </c>
      <c r="C72" s="314"/>
      <c r="D72" s="269" t="s">
        <v>497</v>
      </c>
      <c r="E72" s="269"/>
      <c r="F72" s="380">
        <f>'Base Costs'!AX91</f>
        <v>355.43920000000003</v>
      </c>
      <c r="G72" s="378">
        <f t="shared" ref="G72:G82" si="20">C72*F72</f>
        <v>0</v>
      </c>
      <c r="H72" s="381">
        <v>0.37</v>
      </c>
      <c r="I72" s="378">
        <f t="shared" si="18"/>
        <v>0</v>
      </c>
      <c r="J72" s="378">
        <f>I72*VLOOKUP($B$10,'Base Costs'!$A$32:$B$37,2,FALSE)</f>
        <v>0</v>
      </c>
      <c r="K72" s="379">
        <f t="shared" si="19"/>
        <v>0</v>
      </c>
      <c r="L72" s="469"/>
      <c r="M72" s="469"/>
      <c r="N72" s="469"/>
      <c r="Q72" s="164"/>
      <c r="R72" s="164"/>
    </row>
    <row r="73" spans="1:18" ht="15.75" customHeight="1" x14ac:dyDescent="0.2">
      <c r="A73" s="299">
        <v>269</v>
      </c>
      <c r="B73" s="269" t="s">
        <v>21</v>
      </c>
      <c r="C73" s="314"/>
      <c r="D73" s="269" t="s">
        <v>498</v>
      </c>
      <c r="E73" s="269"/>
      <c r="F73" s="380">
        <f>'Base Costs'!AX92</f>
        <v>344.43639999999999</v>
      </c>
      <c r="G73" s="378">
        <f t="shared" si="20"/>
        <v>0</v>
      </c>
      <c r="H73" s="381">
        <v>0.37</v>
      </c>
      <c r="I73" s="378">
        <f t="shared" si="18"/>
        <v>0</v>
      </c>
      <c r="J73" s="378">
        <f>I73*VLOOKUP($B$10,'Base Costs'!$A$32:$B$37,2,FALSE)</f>
        <v>0</v>
      </c>
      <c r="K73" s="379">
        <f t="shared" si="19"/>
        <v>0</v>
      </c>
      <c r="L73" s="469"/>
      <c r="M73" s="469"/>
      <c r="N73" s="469"/>
      <c r="Q73" s="164"/>
      <c r="R73" s="164"/>
    </row>
    <row r="74" spans="1:18" ht="15.75" customHeight="1" x14ac:dyDescent="0.2">
      <c r="A74" s="299">
        <v>269</v>
      </c>
      <c r="B74" s="269" t="s">
        <v>21</v>
      </c>
      <c r="C74" s="314"/>
      <c r="D74" s="269" t="s">
        <v>499</v>
      </c>
      <c r="E74" s="269"/>
      <c r="F74" s="380">
        <f>'Base Costs'!AX93</f>
        <v>301.8562</v>
      </c>
      <c r="G74" s="378">
        <f t="shared" si="20"/>
        <v>0</v>
      </c>
      <c r="H74" s="381">
        <v>0.37</v>
      </c>
      <c r="I74" s="378">
        <f t="shared" si="18"/>
        <v>0</v>
      </c>
      <c r="J74" s="378">
        <f>I74*VLOOKUP($B$10,'Base Costs'!$A$32:$B$37,2,FALSE)</f>
        <v>0</v>
      </c>
      <c r="K74" s="379">
        <f t="shared" si="19"/>
        <v>0</v>
      </c>
      <c r="L74" s="469"/>
      <c r="M74" s="469"/>
      <c r="N74" s="469"/>
      <c r="Q74" s="164"/>
      <c r="R74" s="164"/>
    </row>
    <row r="75" spans="1:18" ht="15.75" customHeight="1" x14ac:dyDescent="0.2">
      <c r="A75" s="299">
        <v>269</v>
      </c>
      <c r="B75" s="269" t="s">
        <v>20</v>
      </c>
      <c r="C75" s="314"/>
      <c r="D75" s="269" t="s">
        <v>500</v>
      </c>
      <c r="E75" s="269"/>
      <c r="F75" s="380">
        <f>'Base Costs'!AX94</f>
        <v>70.3416</v>
      </c>
      <c r="G75" s="378">
        <f t="shared" si="20"/>
        <v>0</v>
      </c>
      <c r="H75" s="381">
        <v>0.37</v>
      </c>
      <c r="I75" s="378">
        <f t="shared" si="18"/>
        <v>0</v>
      </c>
      <c r="J75" s="378">
        <f>I75*VLOOKUP($B$10,'Base Costs'!$A$32:$B$37,2,FALSE)</f>
        <v>0</v>
      </c>
      <c r="K75" s="379">
        <f t="shared" si="19"/>
        <v>0</v>
      </c>
      <c r="L75" s="469"/>
      <c r="M75" s="469"/>
      <c r="N75" s="469"/>
      <c r="Q75" s="164"/>
      <c r="R75" s="164"/>
    </row>
    <row r="76" spans="1:18" ht="15.75" customHeight="1" x14ac:dyDescent="0.2">
      <c r="A76" s="299">
        <v>269</v>
      </c>
      <c r="B76" s="269" t="s">
        <v>20</v>
      </c>
      <c r="C76" s="314"/>
      <c r="D76" s="269" t="s">
        <v>501</v>
      </c>
      <c r="E76" s="269"/>
      <c r="F76" s="380">
        <f>'Base Costs'!AX95</f>
        <v>76.436599999999999</v>
      </c>
      <c r="G76" s="378">
        <f t="shared" si="20"/>
        <v>0</v>
      </c>
      <c r="H76" s="381">
        <v>0.37</v>
      </c>
      <c r="I76" s="378">
        <f t="shared" si="18"/>
        <v>0</v>
      </c>
      <c r="J76" s="378">
        <f>I76*VLOOKUP($B$10,'Base Costs'!$A$32:$B$37,2,FALSE)</f>
        <v>0</v>
      </c>
      <c r="K76" s="379">
        <f t="shared" si="19"/>
        <v>0</v>
      </c>
      <c r="L76" s="469"/>
      <c r="M76" s="469"/>
      <c r="N76" s="469"/>
      <c r="Q76" s="164"/>
      <c r="R76" s="164"/>
    </row>
    <row r="77" spans="1:18" ht="15.75" customHeight="1" x14ac:dyDescent="0.2">
      <c r="A77" s="299">
        <v>269</v>
      </c>
      <c r="B77" s="269" t="s">
        <v>20</v>
      </c>
      <c r="C77" s="314"/>
      <c r="D77" s="269" t="s">
        <v>502</v>
      </c>
      <c r="E77" s="269"/>
      <c r="F77" s="380">
        <f>'Base Costs'!AX96</f>
        <v>72.525200000000012</v>
      </c>
      <c r="G77" s="378">
        <f t="shared" si="20"/>
        <v>0</v>
      </c>
      <c r="H77" s="381">
        <v>0.37</v>
      </c>
      <c r="I77" s="378">
        <f t="shared" si="18"/>
        <v>0</v>
      </c>
      <c r="J77" s="378">
        <f>I77*VLOOKUP($B$10,'Base Costs'!$A$32:$B$37,2,FALSE)</f>
        <v>0</v>
      </c>
      <c r="K77" s="379">
        <f t="shared" si="19"/>
        <v>0</v>
      </c>
      <c r="L77" s="469"/>
      <c r="M77" s="469"/>
      <c r="N77" s="469"/>
      <c r="Q77" s="164"/>
      <c r="R77" s="164"/>
    </row>
    <row r="78" spans="1:18" ht="15.75" customHeight="1" x14ac:dyDescent="0.2">
      <c r="A78" s="299">
        <v>269</v>
      </c>
      <c r="B78" s="269" t="s">
        <v>20</v>
      </c>
      <c r="C78" s="314"/>
      <c r="D78" s="269" t="s">
        <v>503</v>
      </c>
      <c r="E78" s="269"/>
      <c r="F78" s="380">
        <f>'Base Costs'!AX97</f>
        <v>109.74180000000001</v>
      </c>
      <c r="G78" s="378">
        <f t="shared" si="20"/>
        <v>0</v>
      </c>
      <c r="H78" s="381">
        <v>0.37</v>
      </c>
      <c r="I78" s="378">
        <f t="shared" si="18"/>
        <v>0</v>
      </c>
      <c r="J78" s="378">
        <f>I78*VLOOKUP($B$10,'Base Costs'!$A$32:$B$37,2,FALSE)</f>
        <v>0</v>
      </c>
      <c r="K78" s="379">
        <f t="shared" si="19"/>
        <v>0</v>
      </c>
      <c r="L78" s="469"/>
      <c r="M78" s="469"/>
      <c r="N78" s="469"/>
      <c r="Q78" s="164"/>
      <c r="R78" s="164"/>
    </row>
    <row r="79" spans="1:18" ht="15.75" customHeight="1" x14ac:dyDescent="0.2">
      <c r="A79" s="299">
        <v>269</v>
      </c>
      <c r="B79" s="269" t="s">
        <v>56</v>
      </c>
      <c r="C79" s="314"/>
      <c r="D79" s="269" t="s">
        <v>502</v>
      </c>
      <c r="E79" s="269"/>
      <c r="F79" s="380">
        <f>'Base Costs'!AX98</f>
        <v>80.263199999999998</v>
      </c>
      <c r="G79" s="378">
        <f t="shared" si="20"/>
        <v>0</v>
      </c>
      <c r="H79" s="381">
        <v>0.37</v>
      </c>
      <c r="I79" s="378">
        <f t="shared" si="18"/>
        <v>0</v>
      </c>
      <c r="J79" s="378">
        <f>I79*VLOOKUP($B$10,'Base Costs'!$A$32:$B$37,2,FALSE)</f>
        <v>0</v>
      </c>
      <c r="K79" s="379">
        <f t="shared" si="19"/>
        <v>0</v>
      </c>
      <c r="L79" s="469"/>
      <c r="M79" s="469"/>
      <c r="N79" s="469"/>
      <c r="Q79" s="164"/>
      <c r="R79" s="164"/>
    </row>
    <row r="80" spans="1:18" ht="15.75" customHeight="1" x14ac:dyDescent="0.2">
      <c r="A80" s="299">
        <v>269</v>
      </c>
      <c r="B80" s="269" t="s">
        <v>56</v>
      </c>
      <c r="C80" s="314"/>
      <c r="D80" s="269" t="s">
        <v>503</v>
      </c>
      <c r="E80" s="269"/>
      <c r="F80" s="380">
        <f>'Base Costs'!AX99</f>
        <v>105.88340000000001</v>
      </c>
      <c r="G80" s="378">
        <f t="shared" si="20"/>
        <v>0</v>
      </c>
      <c r="H80" s="381">
        <v>0.37</v>
      </c>
      <c r="I80" s="378">
        <f t="shared" si="18"/>
        <v>0</v>
      </c>
      <c r="J80" s="378">
        <f>I80*VLOOKUP($B$10,'Base Costs'!$A$32:$B$37,2,FALSE)</f>
        <v>0</v>
      </c>
      <c r="K80" s="379">
        <f t="shared" si="19"/>
        <v>0</v>
      </c>
      <c r="L80" s="469"/>
      <c r="M80" s="469"/>
      <c r="N80" s="469"/>
      <c r="Q80" s="164"/>
      <c r="R80" s="164"/>
    </row>
    <row r="81" spans="1:18" ht="15.75" customHeight="1" x14ac:dyDescent="0.2">
      <c r="A81" s="299">
        <v>269</v>
      </c>
      <c r="B81" s="269" t="s">
        <v>67</v>
      </c>
      <c r="C81" s="314"/>
      <c r="D81" s="269" t="s">
        <v>504</v>
      </c>
      <c r="E81" s="269"/>
      <c r="F81" s="380">
        <f>'Base Costs'!AX100</f>
        <v>137.5668</v>
      </c>
      <c r="G81" s="378">
        <f t="shared" si="20"/>
        <v>0</v>
      </c>
      <c r="H81" s="381">
        <v>0.37</v>
      </c>
      <c r="I81" s="378">
        <f t="shared" si="18"/>
        <v>0</v>
      </c>
      <c r="J81" s="378">
        <f>I81*VLOOKUP($B$10,'Base Costs'!$A$32:$B$37,2,FALSE)</f>
        <v>0</v>
      </c>
      <c r="K81" s="379">
        <f t="shared" si="19"/>
        <v>0</v>
      </c>
      <c r="L81" s="469"/>
      <c r="M81" s="469"/>
      <c r="N81" s="469"/>
      <c r="Q81" s="164"/>
      <c r="R81" s="164"/>
    </row>
    <row r="82" spans="1:18" ht="15.75" customHeight="1" x14ac:dyDescent="0.2">
      <c r="A82" s="299">
        <v>269</v>
      </c>
      <c r="B82" s="269" t="s">
        <v>56</v>
      </c>
      <c r="C82" s="314"/>
      <c r="D82" s="269" t="s">
        <v>505</v>
      </c>
      <c r="E82" s="269"/>
      <c r="F82" s="380">
        <f>'Base Costs'!AX101</f>
        <v>157.2192</v>
      </c>
      <c r="G82" s="378">
        <f t="shared" si="20"/>
        <v>0</v>
      </c>
      <c r="H82" s="381">
        <v>0.37</v>
      </c>
      <c r="I82" s="378">
        <f t="shared" si="18"/>
        <v>0</v>
      </c>
      <c r="J82" s="378">
        <f>I82*VLOOKUP($B$10,'Base Costs'!$A$32:$B$37,2,FALSE)</f>
        <v>0</v>
      </c>
      <c r="K82" s="379">
        <f t="shared" si="19"/>
        <v>0</v>
      </c>
      <c r="L82" s="469"/>
      <c r="M82" s="469"/>
      <c r="N82" s="469"/>
      <c r="Q82" s="164"/>
      <c r="R82" s="164"/>
    </row>
    <row r="83" spans="1:18" ht="15.75" customHeight="1" x14ac:dyDescent="0.2">
      <c r="C83" s="159"/>
      <c r="D83" s="165" t="s">
        <v>437</v>
      </c>
      <c r="F83" s="183"/>
      <c r="G83" s="183"/>
      <c r="H83" s="174"/>
      <c r="I83" s="183"/>
      <c r="J83" s="183"/>
      <c r="K83" s="183"/>
      <c r="Q83" s="164"/>
      <c r="R83" s="164"/>
    </row>
    <row r="84" spans="1:18" ht="15.75" customHeight="1" x14ac:dyDescent="0.2">
      <c r="B84" s="24" t="s">
        <v>57</v>
      </c>
      <c r="C84" s="192"/>
      <c r="D84" s="194" t="s">
        <v>437</v>
      </c>
      <c r="E84" s="193"/>
      <c r="F84" s="298"/>
      <c r="G84" s="61">
        <f>SUBTOTAL(9,G85:G93)</f>
        <v>0</v>
      </c>
      <c r="H84" s="39" t="str">
        <f>IF(G84=0,"-",K84/I84)</f>
        <v>-</v>
      </c>
      <c r="I84" s="61">
        <f>SUBTOTAL(9,I85:I93)</f>
        <v>0</v>
      </c>
      <c r="J84" s="465">
        <f>SUBTOTAL(9,J85:J93)</f>
        <v>0</v>
      </c>
      <c r="K84" s="61">
        <f>SUBTOTAL(9,K85:K93)</f>
        <v>0</v>
      </c>
      <c r="L84" s="469"/>
      <c r="M84" s="469"/>
      <c r="N84" s="469"/>
      <c r="Q84" s="164"/>
      <c r="R84" s="164"/>
    </row>
    <row r="85" spans="1:18" ht="15.75" customHeight="1" x14ac:dyDescent="0.2">
      <c r="A85" s="299">
        <v>269</v>
      </c>
      <c r="B85" s="269" t="s">
        <v>19</v>
      </c>
      <c r="C85" s="314"/>
      <c r="D85" s="269" t="s">
        <v>506</v>
      </c>
      <c r="E85" s="269"/>
      <c r="F85" s="380">
        <f>'Base Costs'!AX103</f>
        <v>307.01839999999999</v>
      </c>
      <c r="G85" s="378">
        <f t="shared" ref="G85:G91" si="21">C85*F85</f>
        <v>0</v>
      </c>
      <c r="H85" s="381">
        <v>0.37</v>
      </c>
      <c r="I85" s="378">
        <f t="shared" ref="I85:I93" si="22">G85/(1-H85)*(1+$C$10)</f>
        <v>0</v>
      </c>
      <c r="J85" s="378">
        <f>I85*VLOOKUP($B$10,'Base Costs'!$A$32:$B$37,2,FALSE)</f>
        <v>0</v>
      </c>
      <c r="K85" s="379">
        <f t="shared" ref="K85:K91" si="23">I85-G85</f>
        <v>0</v>
      </c>
      <c r="L85" s="469"/>
      <c r="M85" s="469"/>
      <c r="N85" s="469"/>
      <c r="Q85" s="164"/>
      <c r="R85" s="164"/>
    </row>
    <row r="86" spans="1:18" ht="15.75" customHeight="1" x14ac:dyDescent="0.2">
      <c r="A86" s="299">
        <v>269</v>
      </c>
      <c r="B86" s="269" t="s">
        <v>19</v>
      </c>
      <c r="C86" s="314"/>
      <c r="D86" s="269" t="s">
        <v>507</v>
      </c>
      <c r="E86" s="269"/>
      <c r="F86" s="380">
        <f>'Base Costs'!AX104</f>
        <v>264.07780000000002</v>
      </c>
      <c r="G86" s="378">
        <f t="shared" si="21"/>
        <v>0</v>
      </c>
      <c r="H86" s="381">
        <v>0.37</v>
      </c>
      <c r="I86" s="378">
        <f t="shared" si="22"/>
        <v>0</v>
      </c>
      <c r="J86" s="378">
        <f>I86*VLOOKUP($B$10,'Base Costs'!$A$32:$B$37,2,FALSE)</f>
        <v>0</v>
      </c>
      <c r="K86" s="379">
        <f t="shared" si="23"/>
        <v>0</v>
      </c>
      <c r="L86" s="469"/>
      <c r="M86" s="469"/>
      <c r="N86" s="469"/>
      <c r="Q86" s="164"/>
      <c r="R86" s="164"/>
    </row>
    <row r="87" spans="1:18" ht="15.75" customHeight="1" x14ac:dyDescent="0.2">
      <c r="A87" s="299">
        <v>269</v>
      </c>
      <c r="B87" s="269" t="s">
        <v>19</v>
      </c>
      <c r="C87" s="314"/>
      <c r="D87" s="269" t="s">
        <v>508</v>
      </c>
      <c r="E87" s="269"/>
      <c r="F87" s="380">
        <f>'Base Costs'!AX105</f>
        <v>147.50960000000001</v>
      </c>
      <c r="G87" s="378">
        <f t="shared" si="21"/>
        <v>0</v>
      </c>
      <c r="H87" s="381">
        <v>0.37</v>
      </c>
      <c r="I87" s="378">
        <f t="shared" si="22"/>
        <v>0</v>
      </c>
      <c r="J87" s="378">
        <f>I87*VLOOKUP($B$10,'Base Costs'!$A$32:$B$37,2,FALSE)</f>
        <v>0</v>
      </c>
      <c r="K87" s="379">
        <f t="shared" si="23"/>
        <v>0</v>
      </c>
      <c r="L87" s="469"/>
      <c r="M87" s="469"/>
      <c r="N87" s="469"/>
      <c r="Q87" s="164"/>
      <c r="R87" s="164"/>
    </row>
    <row r="88" spans="1:18" ht="15.75" customHeight="1" x14ac:dyDescent="0.2">
      <c r="A88" s="299">
        <v>269</v>
      </c>
      <c r="B88" s="269" t="s">
        <v>18</v>
      </c>
      <c r="C88" s="314"/>
      <c r="D88" s="269" t="s">
        <v>509</v>
      </c>
      <c r="E88" s="269"/>
      <c r="F88" s="380">
        <f>'Base Costs'!AX106</f>
        <v>327.39160000000004</v>
      </c>
      <c r="G88" s="378">
        <f t="shared" si="21"/>
        <v>0</v>
      </c>
      <c r="H88" s="381">
        <v>0.37</v>
      </c>
      <c r="I88" s="378">
        <f t="shared" si="22"/>
        <v>0</v>
      </c>
      <c r="J88" s="378">
        <f>I88*VLOOKUP($B$10,'Base Costs'!$A$32:$B$37,2,FALSE)</f>
        <v>0</v>
      </c>
      <c r="K88" s="379">
        <f t="shared" si="23"/>
        <v>0</v>
      </c>
      <c r="L88" s="469"/>
      <c r="M88" s="469"/>
      <c r="N88" s="469"/>
      <c r="Q88" s="164"/>
      <c r="R88" s="164"/>
    </row>
    <row r="89" spans="1:18" ht="15.75" customHeight="1" x14ac:dyDescent="0.2">
      <c r="A89" s="299">
        <v>269</v>
      </c>
      <c r="B89" s="269" t="s">
        <v>17</v>
      </c>
      <c r="C89" s="314"/>
      <c r="D89" s="269" t="s">
        <v>510</v>
      </c>
      <c r="E89" s="269"/>
      <c r="F89" s="380">
        <f>'Base Costs'!AX107</f>
        <v>77.42240000000001</v>
      </c>
      <c r="G89" s="378">
        <f t="shared" si="21"/>
        <v>0</v>
      </c>
      <c r="H89" s="381">
        <v>0.37</v>
      </c>
      <c r="I89" s="378">
        <f t="shared" si="22"/>
        <v>0</v>
      </c>
      <c r="J89" s="378">
        <f>I89*VLOOKUP($B$10,'Base Costs'!$A$32:$B$37,2,FALSE)</f>
        <v>0</v>
      </c>
      <c r="K89" s="379">
        <f t="shared" si="23"/>
        <v>0</v>
      </c>
      <c r="L89" s="469"/>
      <c r="M89" s="469"/>
      <c r="N89" s="469"/>
      <c r="Q89" s="164"/>
      <c r="R89" s="164"/>
    </row>
    <row r="90" spans="1:18" ht="15.75" customHeight="1" x14ac:dyDescent="0.2">
      <c r="A90" s="299">
        <v>269</v>
      </c>
      <c r="B90" s="269" t="s">
        <v>17</v>
      </c>
      <c r="C90" s="314"/>
      <c r="D90" s="269" t="s">
        <v>511</v>
      </c>
      <c r="E90" s="269"/>
      <c r="F90" s="380">
        <f>'Base Costs'!AX108</f>
        <v>80.984000000000009</v>
      </c>
      <c r="G90" s="378">
        <f t="shared" si="21"/>
        <v>0</v>
      </c>
      <c r="H90" s="381">
        <v>0.37</v>
      </c>
      <c r="I90" s="378">
        <f t="shared" si="22"/>
        <v>0</v>
      </c>
      <c r="J90" s="378">
        <f>I90*VLOOKUP($B$10,'Base Costs'!$A$32:$B$37,2,FALSE)</f>
        <v>0</v>
      </c>
      <c r="K90" s="379">
        <f t="shared" si="23"/>
        <v>0</v>
      </c>
      <c r="L90" s="469"/>
      <c r="M90" s="469"/>
      <c r="N90" s="469"/>
      <c r="Q90" s="164"/>
      <c r="R90" s="164"/>
    </row>
    <row r="91" spans="1:18" ht="15.75" customHeight="1" x14ac:dyDescent="0.2">
      <c r="A91" s="299">
        <v>269</v>
      </c>
      <c r="B91" s="269" t="s">
        <v>17</v>
      </c>
      <c r="C91" s="314"/>
      <c r="D91" s="269" t="s">
        <v>512</v>
      </c>
      <c r="E91" s="269"/>
      <c r="F91" s="380">
        <f>'Base Costs'!AX109</f>
        <v>93.650999999999996</v>
      </c>
      <c r="G91" s="378">
        <f t="shared" si="21"/>
        <v>0</v>
      </c>
      <c r="H91" s="381">
        <v>0.37</v>
      </c>
      <c r="I91" s="378">
        <f t="shared" si="22"/>
        <v>0</v>
      </c>
      <c r="J91" s="378">
        <f>I91*VLOOKUP($B$10,'Base Costs'!$A$32:$B$37,2,FALSE)</f>
        <v>0</v>
      </c>
      <c r="K91" s="379">
        <f t="shared" si="23"/>
        <v>0</v>
      </c>
      <c r="L91" s="469"/>
      <c r="M91" s="469"/>
      <c r="N91" s="469"/>
      <c r="Q91" s="164"/>
      <c r="R91" s="164"/>
    </row>
    <row r="92" spans="1:18" ht="15.75" customHeight="1" x14ac:dyDescent="0.2">
      <c r="A92" s="299">
        <v>269</v>
      </c>
      <c r="B92" s="269" t="s">
        <v>15</v>
      </c>
      <c r="C92" s="314"/>
      <c r="D92" s="269" t="s">
        <v>513</v>
      </c>
      <c r="E92" s="269"/>
      <c r="F92" s="380">
        <f>'Base Costs'!AX110</f>
        <v>16.376999999999999</v>
      </c>
      <c r="G92" s="378">
        <f t="shared" ref="G92:G93" si="24">C92*F92</f>
        <v>0</v>
      </c>
      <c r="H92" s="381">
        <v>0.37</v>
      </c>
      <c r="I92" s="378">
        <f t="shared" si="22"/>
        <v>0</v>
      </c>
      <c r="J92" s="378">
        <f>I92*VLOOKUP($B$10,'Base Costs'!$A$32:$B$37,2,FALSE)</f>
        <v>0</v>
      </c>
      <c r="K92" s="379">
        <f t="shared" ref="K92:K93" si="25">I92-G92</f>
        <v>0</v>
      </c>
      <c r="L92" s="469"/>
      <c r="M92" s="469"/>
      <c r="N92" s="469"/>
      <c r="Q92" s="164"/>
      <c r="R92" s="164"/>
    </row>
    <row r="93" spans="1:18" ht="15.75" customHeight="1" x14ac:dyDescent="0.2">
      <c r="A93" s="299">
        <v>269</v>
      </c>
      <c r="B93" s="269" t="s">
        <v>58</v>
      </c>
      <c r="C93" s="314"/>
      <c r="D93" s="269" t="s">
        <v>514</v>
      </c>
      <c r="E93" s="269"/>
      <c r="F93" s="380">
        <f>'Base Costs'!AX111</f>
        <v>93.28</v>
      </c>
      <c r="G93" s="378">
        <f t="shared" si="24"/>
        <v>0</v>
      </c>
      <c r="H93" s="381">
        <v>0.37</v>
      </c>
      <c r="I93" s="378">
        <f t="shared" si="22"/>
        <v>0</v>
      </c>
      <c r="J93" s="378">
        <f>I93*VLOOKUP($B$10,'Base Costs'!$A$32:$B$37,2,FALSE)</f>
        <v>0</v>
      </c>
      <c r="K93" s="379">
        <f t="shared" si="25"/>
        <v>0</v>
      </c>
      <c r="L93" s="469"/>
      <c r="M93" s="469"/>
      <c r="N93" s="469"/>
      <c r="Q93" s="164"/>
      <c r="R93" s="164"/>
    </row>
    <row r="94" spans="1:18" ht="15.75" customHeight="1" x14ac:dyDescent="0.2">
      <c r="B94" s="190"/>
      <c r="C94" s="186"/>
      <c r="D94" s="190"/>
      <c r="E94" s="190"/>
      <c r="F94" s="195"/>
      <c r="G94" s="169"/>
      <c r="H94" s="196"/>
      <c r="I94" s="169"/>
      <c r="J94" s="169"/>
      <c r="L94" s="469"/>
      <c r="M94" s="469"/>
      <c r="N94" s="469"/>
      <c r="Q94" s="164"/>
      <c r="R94" s="164"/>
    </row>
    <row r="95" spans="1:18" ht="15.75" customHeight="1" x14ac:dyDescent="0.2">
      <c r="B95" s="24" t="s">
        <v>48</v>
      </c>
      <c r="C95" s="24"/>
      <c r="D95" s="24"/>
      <c r="E95" s="24"/>
      <c r="F95" s="24"/>
      <c r="G95" s="61">
        <f>SUBTOTAL(9,G96:G102)</f>
        <v>0</v>
      </c>
      <c r="H95" s="39" t="str">
        <f>IF(G95=0,"-",K95/I95)</f>
        <v>-</v>
      </c>
      <c r="I95" s="61">
        <f>SUBTOTAL(9,I96:I102)</f>
        <v>0</v>
      </c>
      <c r="J95" s="465">
        <f>SUBTOTAL(9,J96:J102)</f>
        <v>0</v>
      </c>
      <c r="K95" s="61">
        <f>SUBTOTAL(9,K96:K102)</f>
        <v>0</v>
      </c>
      <c r="L95" s="469"/>
      <c r="M95" s="469"/>
      <c r="N95" s="469"/>
      <c r="Q95" s="164"/>
      <c r="R95" s="164"/>
    </row>
    <row r="96" spans="1:18" ht="15.75" customHeight="1" x14ac:dyDescent="0.2">
      <c r="A96" s="299">
        <v>220</v>
      </c>
      <c r="B96" s="588" t="s">
        <v>726</v>
      </c>
      <c r="C96" s="314"/>
      <c r="D96" s="269"/>
      <c r="E96" s="269"/>
      <c r="F96" s="380">
        <f>'Base Costs'!AX113</f>
        <v>116.60000000000001</v>
      </c>
      <c r="G96" s="378">
        <f t="shared" ref="G96:G102" si="26">C96*F96</f>
        <v>0</v>
      </c>
      <c r="H96" s="381">
        <v>0.33</v>
      </c>
      <c r="I96" s="378">
        <f t="shared" ref="I96:I102" si="27">G96/(1-H96)*(1+$C$10)</f>
        <v>0</v>
      </c>
      <c r="J96" s="378">
        <f>I96*VLOOKUP($B$10,'Base Costs'!$A$32:$B$37,2,FALSE)</f>
        <v>0</v>
      </c>
      <c r="K96" s="379">
        <f t="shared" ref="K96:K102" si="28">I96-G96</f>
        <v>0</v>
      </c>
      <c r="L96" s="469"/>
      <c r="M96" s="469"/>
      <c r="N96" s="469"/>
      <c r="Q96" s="164"/>
      <c r="R96" s="164"/>
    </row>
    <row r="97" spans="1:18" ht="15.75" customHeight="1" x14ac:dyDescent="0.2">
      <c r="A97" s="299">
        <v>222</v>
      </c>
      <c r="B97" s="269" t="s">
        <v>243</v>
      </c>
      <c r="C97" s="314"/>
      <c r="D97" s="316" t="s">
        <v>45</v>
      </c>
      <c r="E97" s="270"/>
      <c r="F97" s="380">
        <f>VLOOKUP(D97,'Base Costs'!E4:G213,2,FALSE)</f>
        <v>0</v>
      </c>
      <c r="G97" s="378">
        <f t="shared" si="26"/>
        <v>0</v>
      </c>
      <c r="H97" s="381">
        <v>0.33</v>
      </c>
      <c r="I97" s="378">
        <f t="shared" si="27"/>
        <v>0</v>
      </c>
      <c r="J97" s="378">
        <f>I97*VLOOKUP($B$10,'Base Costs'!$A$32:$B$37,2,FALSE)</f>
        <v>0</v>
      </c>
      <c r="K97" s="379">
        <f t="shared" si="28"/>
        <v>0</v>
      </c>
      <c r="L97" s="469"/>
      <c r="M97" s="469"/>
      <c r="N97" s="469"/>
      <c r="Q97" s="164"/>
      <c r="R97" s="164"/>
    </row>
    <row r="98" spans="1:18" ht="15.75" customHeight="1" x14ac:dyDescent="0.2">
      <c r="A98" s="299">
        <v>265</v>
      </c>
      <c r="B98" s="269" t="s">
        <v>11</v>
      </c>
      <c r="C98" s="314"/>
      <c r="D98" s="269" t="s">
        <v>50</v>
      </c>
      <c r="E98" s="269"/>
      <c r="F98" s="380">
        <v>610</v>
      </c>
      <c r="G98" s="378">
        <f t="shared" si="26"/>
        <v>0</v>
      </c>
      <c r="H98" s="381">
        <v>0.4</v>
      </c>
      <c r="I98" s="378">
        <f t="shared" si="27"/>
        <v>0</v>
      </c>
      <c r="J98" s="378">
        <f>I98*VLOOKUP($B$10,'Base Costs'!$A$32:$B$37,2,FALSE)</f>
        <v>0</v>
      </c>
      <c r="K98" s="379">
        <f t="shared" si="28"/>
        <v>0</v>
      </c>
      <c r="L98" s="469"/>
      <c r="M98" s="469"/>
      <c r="N98" s="469"/>
      <c r="Q98" s="164"/>
      <c r="R98" s="164"/>
    </row>
    <row r="99" spans="1:18" ht="15.75" customHeight="1" x14ac:dyDescent="0.2">
      <c r="A99" s="299">
        <v>267</v>
      </c>
      <c r="B99" s="269" t="s">
        <v>11</v>
      </c>
      <c r="C99" s="314"/>
      <c r="D99" s="1143" t="s">
        <v>1441</v>
      </c>
      <c r="E99" s="1144"/>
      <c r="F99" s="380">
        <v>610</v>
      </c>
      <c r="G99" s="378">
        <f t="shared" si="26"/>
        <v>0</v>
      </c>
      <c r="H99" s="381">
        <v>0.4</v>
      </c>
      <c r="I99" s="378">
        <f t="shared" si="27"/>
        <v>0</v>
      </c>
      <c r="J99" s="378">
        <f>I99*VLOOKUP($B$10,'Base Costs'!$A$32:$B$37,2,FALSE)</f>
        <v>0</v>
      </c>
      <c r="K99" s="379">
        <f t="shared" si="28"/>
        <v>0</v>
      </c>
      <c r="L99" s="469"/>
      <c r="M99" s="469"/>
      <c r="N99" s="469"/>
      <c r="Q99" s="164"/>
      <c r="R99" s="164"/>
    </row>
    <row r="100" spans="1:18" ht="15.75" customHeight="1" x14ac:dyDescent="0.2">
      <c r="A100" s="299">
        <v>253</v>
      </c>
      <c r="B100" s="269" t="s">
        <v>12</v>
      </c>
      <c r="C100" s="314"/>
      <c r="D100" s="269"/>
      <c r="E100" s="269"/>
      <c r="F100" s="380">
        <f>'Base Costs'!AX117</f>
        <v>0</v>
      </c>
      <c r="G100" s="378">
        <f t="shared" si="26"/>
        <v>0</v>
      </c>
      <c r="H100" s="381">
        <v>0.33</v>
      </c>
      <c r="I100" s="378">
        <f t="shared" si="27"/>
        <v>0</v>
      </c>
      <c r="J100" s="378">
        <f>I100*VLOOKUP($B$10,'Base Costs'!$A$32:$B$37,2,FALSE)</f>
        <v>0</v>
      </c>
      <c r="K100" s="379">
        <f t="shared" si="28"/>
        <v>0</v>
      </c>
      <c r="L100" s="469"/>
      <c r="M100" s="469"/>
      <c r="N100" s="469"/>
      <c r="Q100" s="164"/>
      <c r="R100" s="164"/>
    </row>
    <row r="101" spans="1:18" ht="15.75" customHeight="1" x14ac:dyDescent="0.2">
      <c r="A101" s="299">
        <v>102</v>
      </c>
      <c r="B101" s="269" t="s">
        <v>13</v>
      </c>
      <c r="C101" s="314"/>
      <c r="D101" s="269"/>
      <c r="E101" s="269"/>
      <c r="F101" s="380">
        <f>'Base Costs'!AX118</f>
        <v>0</v>
      </c>
      <c r="G101" s="378">
        <f t="shared" si="26"/>
        <v>0</v>
      </c>
      <c r="H101" s="381">
        <v>0.33</v>
      </c>
      <c r="I101" s="378">
        <f t="shared" si="27"/>
        <v>0</v>
      </c>
      <c r="J101" s="378">
        <f>I101*VLOOKUP($B$10,'Base Costs'!$A$32:$B$37,2,FALSE)</f>
        <v>0</v>
      </c>
      <c r="K101" s="379">
        <f t="shared" si="28"/>
        <v>0</v>
      </c>
      <c r="L101" s="469"/>
      <c r="M101" s="469"/>
      <c r="N101" s="469"/>
      <c r="Q101" s="164"/>
      <c r="R101" s="164"/>
    </row>
    <row r="102" spans="1:18" ht="15.75" customHeight="1" x14ac:dyDescent="0.2">
      <c r="A102" s="299">
        <v>280</v>
      </c>
      <c r="B102" s="269" t="s">
        <v>244</v>
      </c>
      <c r="C102" s="314"/>
      <c r="D102" s="269" t="s">
        <v>115</v>
      </c>
      <c r="E102" s="315"/>
      <c r="F102" s="380">
        <v>604</v>
      </c>
      <c r="G102" s="378">
        <f t="shared" si="26"/>
        <v>0</v>
      </c>
      <c r="H102" s="381">
        <v>0.33</v>
      </c>
      <c r="I102" s="378">
        <f t="shared" si="27"/>
        <v>0</v>
      </c>
      <c r="J102" s="378">
        <f>I102*VLOOKUP($B$10,'Base Costs'!$A$32:$B$37,2,FALSE)</f>
        <v>0</v>
      </c>
      <c r="K102" s="379">
        <f t="shared" si="28"/>
        <v>0</v>
      </c>
      <c r="L102" s="469"/>
      <c r="M102" s="469"/>
      <c r="N102" s="469"/>
      <c r="Q102" s="164"/>
      <c r="R102" s="164"/>
    </row>
    <row r="103" spans="1:18" ht="15.75" customHeight="1" x14ac:dyDescent="0.2">
      <c r="B103" s="190"/>
      <c r="C103" s="186"/>
      <c r="D103" s="190"/>
      <c r="E103" s="190"/>
      <c r="F103" s="169"/>
      <c r="G103" s="169"/>
      <c r="H103" s="191"/>
      <c r="I103" s="169"/>
      <c r="J103" s="169"/>
      <c r="K103" s="183"/>
      <c r="L103" s="469"/>
      <c r="M103" s="469"/>
      <c r="N103" s="469"/>
      <c r="O103" s="184"/>
      <c r="P103" s="184"/>
    </row>
    <row r="104" spans="1:18" ht="15.75" customHeight="1" x14ac:dyDescent="0.2">
      <c r="B104" s="197" t="s">
        <v>121</v>
      </c>
      <c r="C104" s="198"/>
      <c r="D104" s="199"/>
      <c r="E104" s="199"/>
      <c r="F104" s="198"/>
      <c r="G104" s="200"/>
      <c r="H104" s="198"/>
      <c r="I104" s="198"/>
      <c r="J104" s="198"/>
      <c r="K104" s="198"/>
      <c r="L104" s="469"/>
      <c r="M104" s="469"/>
      <c r="N104" s="469"/>
      <c r="O104" s="165"/>
    </row>
    <row r="105" spans="1:18" ht="15.75" customHeight="1" x14ac:dyDescent="0.2">
      <c r="A105" s="299">
        <v>268</v>
      </c>
      <c r="B105" s="576" t="s">
        <v>605</v>
      </c>
      <c r="C105" s="908">
        <f>$J$13+$J$98+$J$101</f>
        <v>2485.9523809523807</v>
      </c>
      <c r="D105" s="202"/>
      <c r="E105" s="204"/>
      <c r="F105" s="202"/>
      <c r="G105" s="209"/>
      <c r="H105" s="203"/>
      <c r="I105" s="203"/>
      <c r="J105" s="203"/>
      <c r="K105" s="205"/>
    </row>
    <row r="106" spans="1:18" ht="15.75" customHeight="1" x14ac:dyDescent="0.2">
      <c r="A106" s="299">
        <v>270</v>
      </c>
      <c r="B106" s="576" t="s">
        <v>606</v>
      </c>
      <c r="C106" s="908">
        <f>$J$34+$J$70+$J$84+$J$99</f>
        <v>0</v>
      </c>
      <c r="D106" s="202"/>
      <c r="E106" s="204"/>
      <c r="F106" s="202"/>
      <c r="G106" s="209"/>
      <c r="H106" s="203"/>
      <c r="I106" s="203"/>
      <c r="J106" s="203"/>
      <c r="K106" s="205"/>
    </row>
    <row r="107" spans="1:18" ht="15.75" customHeight="1" x14ac:dyDescent="0.2">
      <c r="A107" s="299">
        <v>266</v>
      </c>
      <c r="B107" s="576" t="s">
        <v>703</v>
      </c>
      <c r="C107" s="576">
        <f>J96+J97+J100</f>
        <v>0</v>
      </c>
      <c r="D107" s="202"/>
      <c r="E107" s="204"/>
      <c r="F107" s="202"/>
      <c r="G107" s="209"/>
      <c r="H107" s="203"/>
      <c r="I107" s="203"/>
      <c r="J107" s="203"/>
      <c r="K107" s="209"/>
    </row>
    <row r="108" spans="1:18" ht="15.75" customHeight="1" thickBot="1" x14ac:dyDescent="0.25">
      <c r="A108" s="299">
        <v>269</v>
      </c>
      <c r="B108" s="578" t="s">
        <v>607</v>
      </c>
      <c r="C108" s="908">
        <f>C105+C106+C107</f>
        <v>2485.9523809523807</v>
      </c>
      <c r="D108" s="202"/>
      <c r="E108" s="204"/>
      <c r="F108" s="202"/>
      <c r="G108" s="209"/>
      <c r="H108" s="206"/>
      <c r="I108" s="203"/>
      <c r="J108" s="203"/>
      <c r="K108" s="209"/>
    </row>
    <row r="109" spans="1:18" ht="15.75" customHeight="1" thickBot="1" x14ac:dyDescent="0.25">
      <c r="A109" s="299">
        <v>280</v>
      </c>
      <c r="B109" s="579" t="s">
        <v>661</v>
      </c>
      <c r="C109" s="909">
        <f>C108+J102</f>
        <v>2485.9523809523807</v>
      </c>
      <c r="D109" s="202"/>
      <c r="E109" s="202"/>
      <c r="F109" s="202"/>
      <c r="G109" s="207"/>
      <c r="H109" s="209"/>
      <c r="I109" s="203"/>
      <c r="J109" s="203"/>
      <c r="K109" s="205"/>
    </row>
    <row r="110" spans="1:18" ht="15.75" customHeight="1" x14ac:dyDescent="0.2">
      <c r="B110" s="202"/>
      <c r="C110" s="202"/>
      <c r="D110" s="202"/>
      <c r="E110" s="202"/>
      <c r="F110" s="202"/>
      <c r="G110" s="207"/>
      <c r="H110" s="209"/>
      <c r="I110" s="203"/>
      <c r="J110" s="203"/>
      <c r="K110" s="205"/>
    </row>
    <row r="111" spans="1:18" ht="15.75" customHeight="1" x14ac:dyDescent="0.2">
      <c r="D111" s="208"/>
    </row>
    <row r="112" spans="1:18" ht="15.75" customHeight="1" x14ac:dyDescent="0.2">
      <c r="D112" s="201"/>
    </row>
    <row r="113" spans="2:4" ht="15.75" customHeight="1" x14ac:dyDescent="0.2">
      <c r="D113" s="208"/>
    </row>
    <row r="114" spans="2:4" ht="15.75" customHeight="1" x14ac:dyDescent="0.2">
      <c r="D114" s="208"/>
    </row>
    <row r="115" spans="2:4" ht="15.75" customHeight="1" x14ac:dyDescent="0.2">
      <c r="D115" s="201"/>
    </row>
    <row r="116" spans="2:4" ht="15.75" customHeight="1" x14ac:dyDescent="0.2">
      <c r="B116" s="172"/>
      <c r="C116" s="172"/>
      <c r="D116" s="172"/>
    </row>
    <row r="117" spans="2:4" ht="15.75" customHeight="1" x14ac:dyDescent="0.2">
      <c r="B117" s="172"/>
      <c r="C117" s="172"/>
      <c r="D117" s="172"/>
    </row>
  </sheetData>
  <protectedRanges>
    <protectedRange sqref="E84:F103 E33:F34 E42:E46 F41:F48 E49:F64 E35 E36:F37 E40:F40 E69:F82 E65:E68 F14:F32 E38" name="Pricing" securityDescriptor="O:WDG:WDD:(A;;CC;;;S-1-5-21-1993962763-879983540-839522115-1221)"/>
    <protectedRange sqref="HR1:IY2 B118:D65543 B1:J2 K2:K3 Q104:IY65543 E111:K65543 B33:K33 K83 B94:K94 B103:K103 K110 P104:P110 F105:F110 B95:F95 K9 G69:K69 O111:P65543 O1:P7 B97:B102 B84:F93 C96:F102 O17:P17 O69:IY103 Q3:X12 AF3:IY68 Y3:AE34 Y66:AE68 Y35:Y58 Z35:AE65 C34:F34 C57:F64 E42:E46 B34:B82 C56 D40:D48 F41:F48 D49:F56 Q17:X68 S13:X16 D35:E35 C36:F37 C39 E40:F40 C69:F82 C65:E68 B14:F32 O9:P12 C38:E3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110:C117 D111:D117" name="Full_2" securityDescriptor="O:WDG:WDD:(A;;CC;;;S-1-5-21-1993962763-879983540-839522115-1156)"/>
    <protectedRange sqref="C3:D3 C7 F3:J3 B3:B7 B11:J12 J8 D10 B9:J9" name="Estimating_1" securityDescriptor="O:WDG:WDD:(A;;CC;;;S-1-5-21-1993962763-879983540-839522115-1221)"/>
    <protectedRange sqref="K5:K7" name="Estimating_2" securityDescriptor="O:WDG:WDD:(A;;CC;;;S-1-5-21-1993962763-879983540-839522115-1221)"/>
    <protectedRange sqref="I4:J7 E4:E6 D7:E7 E8" name="Estimating_1_1" securityDescriptor="O:WDG:WDD:(A;;CC;;;S-1-5-21-1993962763-879983540-839522115-1221)"/>
    <protectedRange sqref="K71:K82 K85:K93 K96:K102 K35:K40 K42:K46 K49:K68 K14:K32" name="Estimating_5" securityDescriptor="O:WDG:WDD:(A;;CC;;;S-1-5-21-1993962763-879983540-839522115-1221)"/>
    <protectedRange sqref="L7:N7" name="Estimating_3" securityDescriptor="O:WDG:WDD:(A;;CC;;;S-1-5-21-1993962763-879983540-839522115-1221)"/>
    <protectedRange sqref="C4:D6 C8:D8 K8:L8" name="Estimating_1_3_2" securityDescriptor="O:WDG:WDD:(A;;CC;;;S-1-5-21-1993962763-879983540-839522115-1221)"/>
    <protectedRange sqref="F6 H5:H8 G5 F8 G7" name="Estimating_4_3" securityDescriptor="O:WDG:WDD:(A;;CC;;;S-1-5-21-1993962763-879983540-839522115-1221)"/>
    <protectedRange sqref="O18:P34" name="Full_3" securityDescriptor="O:WDG:WDD:(A;;CC;;;S-1-5-21-1993962763-879983540-839522115-1156)"/>
    <protectedRange sqref="P16 O35:P68 O13" name="Full_3_1" securityDescriptor="O:WDG:WDD:(A;;CC;;;S-1-5-21-1993962763-879983540-839522115-1156)"/>
    <protectedRange sqref="B108:C108" name="Full_4" securityDescriptor="O:WDG:WDD:(A;;CC;;;S-1-5-21-1993962763-879983540-839522115-1156)"/>
    <protectedRange sqref="B105:C106" name="Full_4_1" securityDescriptor="O:WDG:WDD:(A;;CC;;;S-1-5-21-1993962763-879983540-839522115-1156)"/>
    <protectedRange sqref="B109:C109" name="Full_5" securityDescriptor="O:WDG:WDD:(A;;CC;;;S-1-5-21-1993962763-879983540-839522115-1156)"/>
    <protectedRange sqref="F35" name="Pricing_1_1" securityDescriptor="O:WDG:WDD:(A;;CC;;;S-1-5-21-1993962763-879983540-839522115-1221)"/>
    <protectedRange sqref="F35" name="Full_9_1" securityDescriptor="O:WDG:WDD:(A;;CC;;;S-1-5-21-1993962763-879983540-839522115-1156)"/>
    <protectedRange sqref="E39:F39 F38" name="Pricing_5" securityDescriptor="O:WDG:WDD:(A;;CC;;;S-1-5-21-1993962763-879983540-839522115-1221)"/>
    <protectedRange sqref="D39:F39 F38" name="Full_10" securityDescriptor="O:WDG:WDD:(A;;CC;;;S-1-5-21-1993962763-879983540-839522115-1156)"/>
    <protectedRange sqref="F65:F68" name="Pricing_6" securityDescriptor="O:WDG:WDD:(A;;CC;;;S-1-5-21-1993962763-879983540-839522115-1221)"/>
    <protectedRange sqref="F65:F68" name="Full_11" securityDescriptor="O:WDG:WDD:(A;;CC;;;S-1-5-21-1993962763-879983540-839522115-1156)"/>
  </protectedRanges>
  <dataConsolidate/>
  <mergeCells count="49">
    <mergeCell ref="Y49:AB49"/>
    <mergeCell ref="B1:D1"/>
    <mergeCell ref="I4:K4"/>
    <mergeCell ref="I6:K6"/>
    <mergeCell ref="C6:D6"/>
    <mergeCell ref="C8:D8"/>
    <mergeCell ref="C4:D4"/>
    <mergeCell ref="F4:H4"/>
    <mergeCell ref="F6:H6"/>
    <mergeCell ref="F8:H8"/>
    <mergeCell ref="S39:V39"/>
    <mergeCell ref="O36:P36"/>
    <mergeCell ref="Y40:AB40"/>
    <mergeCell ref="O34:P34"/>
    <mergeCell ref="S34:V34"/>
    <mergeCell ref="Y34:AB34"/>
    <mergeCell ref="E10:F10"/>
    <mergeCell ref="O41:P41"/>
    <mergeCell ref="Y35:AB35"/>
    <mergeCell ref="Y36:AB36"/>
    <mergeCell ref="Y37:AB37"/>
    <mergeCell ref="Y39:AB39"/>
    <mergeCell ref="Y41:AB41"/>
    <mergeCell ref="Q13:R13"/>
    <mergeCell ref="S35:V35"/>
    <mergeCell ref="S40:V40"/>
    <mergeCell ref="S36:V36"/>
    <mergeCell ref="S37:V37"/>
    <mergeCell ref="O64:P64"/>
    <mergeCell ref="O65:P65"/>
    <mergeCell ref="O66:P66"/>
    <mergeCell ref="O60:P60"/>
    <mergeCell ref="O61:P61"/>
    <mergeCell ref="D99:E99"/>
    <mergeCell ref="K8:L8"/>
    <mergeCell ref="O56:P56"/>
    <mergeCell ref="O57:P57"/>
    <mergeCell ref="O58:P58"/>
    <mergeCell ref="O59:P59"/>
    <mergeCell ref="O49:P49"/>
    <mergeCell ref="O39:P39"/>
    <mergeCell ref="O40:P40"/>
    <mergeCell ref="O35:P35"/>
    <mergeCell ref="O37:P37"/>
    <mergeCell ref="N8:P8"/>
    <mergeCell ref="O67:P67"/>
    <mergeCell ref="O68:P68"/>
    <mergeCell ref="O62:P62"/>
    <mergeCell ref="O63:P63"/>
  </mergeCells>
  <conditionalFormatting sqref="B10">
    <cfRule type="expression" dxfId="456" priority="121">
      <formula>B10="CURRENCY"</formula>
    </cfRule>
    <cfRule type="containsText" dxfId="455" priority="114" operator="containsText" text="SELECT">
      <formula>NOT(ISERROR(SEARCH("SELECT",B10)))</formula>
    </cfRule>
  </conditionalFormatting>
  <conditionalFormatting sqref="B14:B40">
    <cfRule type="expression" dxfId="454" priority="33">
      <formula>$C14&gt;0</formula>
    </cfRule>
  </conditionalFormatting>
  <conditionalFormatting sqref="B35 B41:B56">
    <cfRule type="expression" dxfId="453" priority="5157">
      <formula>$D35&gt;0</formula>
    </cfRule>
  </conditionalFormatting>
  <conditionalFormatting sqref="B57:B68">
    <cfRule type="expression" dxfId="452" priority="64">
      <formula>$C57&gt;0</formula>
    </cfRule>
  </conditionalFormatting>
  <conditionalFormatting sqref="B71:B82">
    <cfRule type="expression" dxfId="451" priority="61">
      <formula>$C71&gt;0</formula>
    </cfRule>
  </conditionalFormatting>
  <conditionalFormatting sqref="B85:B93">
    <cfRule type="expression" dxfId="450" priority="60">
      <formula>$C85&gt;0</formula>
    </cfRule>
  </conditionalFormatting>
  <conditionalFormatting sqref="B96:B102">
    <cfRule type="expression" dxfId="449" priority="58">
      <formula>$C96&gt;0</formula>
    </cfRule>
  </conditionalFormatting>
  <conditionalFormatting sqref="C14:C32 C71:C82 C85:C93">
    <cfRule type="cellIs" dxfId="448" priority="127" operator="equal">
      <formula>0</formula>
    </cfRule>
  </conditionalFormatting>
  <conditionalFormatting sqref="C35:C68">
    <cfRule type="cellIs" dxfId="447" priority="21" operator="equal">
      <formula>0</formula>
    </cfRule>
  </conditionalFormatting>
  <conditionalFormatting sqref="C96:C102">
    <cfRule type="cellIs" dxfId="446" priority="57" operator="equal">
      <formula>0</formula>
    </cfRule>
  </conditionalFormatting>
  <conditionalFormatting sqref="C10:D10">
    <cfRule type="cellIs" dxfId="445" priority="107" operator="greaterThan">
      <formula>0</formula>
    </cfRule>
    <cfRule type="cellIs" dxfId="444" priority="106" operator="lessThan">
      <formula>0</formula>
    </cfRule>
  </conditionalFormatting>
  <conditionalFormatting sqref="F14:F68">
    <cfRule type="expression" dxfId="443" priority="1">
      <formula>C14&gt;0</formula>
    </cfRule>
  </conditionalFormatting>
  <conditionalFormatting sqref="F35:F64">
    <cfRule type="expression" dxfId="442" priority="2">
      <formula>D35&gt;0</formula>
    </cfRule>
  </conditionalFormatting>
  <conditionalFormatting sqref="F71:F82">
    <cfRule type="expression" dxfId="441" priority="99">
      <formula>C71&gt;0</formula>
    </cfRule>
  </conditionalFormatting>
  <conditionalFormatting sqref="F85:F93">
    <cfRule type="expression" dxfId="440" priority="94">
      <formula>C85&gt;0</formula>
    </cfRule>
  </conditionalFormatting>
  <conditionalFormatting sqref="F96:F102">
    <cfRule type="expression" dxfId="439" priority="97">
      <formula>C96&gt;0</formula>
    </cfRule>
  </conditionalFormatting>
  <conditionalFormatting sqref="G14:G32">
    <cfRule type="cellIs" dxfId="438" priority="93" operator="greaterThan">
      <formula>0</formula>
    </cfRule>
  </conditionalFormatting>
  <conditionalFormatting sqref="G35:G68">
    <cfRule type="cellIs" dxfId="437" priority="3" operator="greaterThan">
      <formula>0</formula>
    </cfRule>
  </conditionalFormatting>
  <conditionalFormatting sqref="G71:G82 G85:G93 G96:G102">
    <cfRule type="cellIs" dxfId="436" priority="92" operator="greaterThan">
      <formula>0</formula>
    </cfRule>
  </conditionalFormatting>
  <conditionalFormatting sqref="H14:H32">
    <cfRule type="expression" dxfId="435" priority="286">
      <formula>$C$10&lt;0</formula>
    </cfRule>
    <cfRule type="expression" dxfId="434" priority="285">
      <formula>$C$10&gt;0</formula>
    </cfRule>
  </conditionalFormatting>
  <conditionalFormatting sqref="H35:H68">
    <cfRule type="expression" dxfId="433" priority="17">
      <formula>$C$10&gt;0</formula>
    </cfRule>
  </conditionalFormatting>
  <conditionalFormatting sqref="H35:H82">
    <cfRule type="expression" dxfId="432" priority="72">
      <formula>$C$10&lt;0</formula>
    </cfRule>
  </conditionalFormatting>
  <conditionalFormatting sqref="H40:H68">
    <cfRule type="expression" dxfId="431" priority="18">
      <formula>$C$10&lt;0</formula>
    </cfRule>
  </conditionalFormatting>
  <conditionalFormatting sqref="H71:H82">
    <cfRule type="expression" dxfId="430" priority="71">
      <formula>$C$10&gt;0</formula>
    </cfRule>
  </conditionalFormatting>
  <conditionalFormatting sqref="H85:H93">
    <cfRule type="expression" dxfId="429" priority="68">
      <formula>$C$10&lt;0</formula>
    </cfRule>
    <cfRule type="expression" dxfId="428" priority="67">
      <formula>$C$10&gt;0</formula>
    </cfRule>
  </conditionalFormatting>
  <conditionalFormatting sqref="H96:H102">
    <cfRule type="expression" dxfId="427" priority="66">
      <formula>$C$10&lt;0</formula>
    </cfRule>
    <cfRule type="expression" dxfId="426" priority="65">
      <formula>$C$10&gt;0</formula>
    </cfRule>
  </conditionalFormatting>
  <conditionalFormatting sqref="J1:J7 J9:J33">
    <cfRule type="expression" dxfId="425" priority="281">
      <formula>$B$10="EURO"</formula>
    </cfRule>
    <cfRule type="expression" dxfId="424" priority="282">
      <formula>$B$10="USD"</formula>
    </cfRule>
    <cfRule type="expression" dxfId="423" priority="283">
      <formula>$B$10="PLN"</formula>
    </cfRule>
    <cfRule type="expression" dxfId="422" priority="284">
      <formula>$B$10="CZK"</formula>
    </cfRule>
  </conditionalFormatting>
  <conditionalFormatting sqref="J35:J69">
    <cfRule type="expression" dxfId="421" priority="13">
      <formula>$B$10="EURO"</formula>
    </cfRule>
  </conditionalFormatting>
  <conditionalFormatting sqref="J35:J1048576">
    <cfRule type="expression" dxfId="420" priority="15">
      <formula>$B$10="PLN"</formula>
    </cfRule>
    <cfRule type="expression" dxfId="419" priority="14">
      <formula>$B$10="USD"</formula>
    </cfRule>
    <cfRule type="expression" dxfId="418" priority="16">
      <formula>$B$10="CZK"</formula>
    </cfRule>
  </conditionalFormatting>
  <conditionalFormatting sqref="J71:J83 J85:J94 J96:J1048576">
    <cfRule type="expression" dxfId="417" priority="88">
      <formula>$B$10="EURO"</formula>
    </cfRule>
  </conditionalFormatting>
  <conditionalFormatting sqref="J14:K68">
    <cfRule type="cellIs" dxfId="416" priority="12" operator="greaterThan">
      <formula>0</formula>
    </cfRule>
  </conditionalFormatting>
  <conditionalFormatting sqref="J71:K82 J85:K93 J96:K102">
    <cfRule type="cellIs" dxfId="415" priority="87" operator="greaterThan">
      <formula>0</formula>
    </cfRule>
  </conditionalFormatting>
  <printOptions horizontalCentered="1"/>
  <pageMargins left="0.51181102362204722" right="0.35433070866141736" top="0.27559055118110237" bottom="0.15748031496062992" header="0.31496062992125984" footer="0.11811023622047245"/>
  <pageSetup paperSize="8" scale="55" orientation="landscape" r:id="rId1"/>
  <headerFooter alignWithMargins="0">
    <oddFooter>&amp;L&amp;Z&amp;F</oddFooter>
  </headerFooter>
  <ignoredErrors>
    <ignoredError sqref="H10 H13 H34 H70 H84 H95" formula="1"/>
    <ignoredError sqref="J34" evalError="1"/>
  </ignoredErrors>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800-000000000000}">
          <x14:formula1>
            <xm:f>'Base Costs'!$E$4:$E$213</xm:f>
          </x14:formula1>
          <xm:sqref>D97</xm:sqref>
        </x14:dataValidation>
        <x14:dataValidation type="list" allowBlank="1" showInputMessage="1" showErrorMessage="1" xr:uid="{00000000-0002-0000-0800-000001000000}">
          <x14:formula1>
            <xm:f>'Base Costs'!$A$32:$A$37</xm:f>
          </x14:formula1>
          <xm:sqref>B10</xm:sqref>
        </x14:dataValidation>
        <x14:dataValidation type="list" allowBlank="1" showInputMessage="1" showErrorMessage="1" xr:uid="{00000000-0002-0000-0800-000002000000}">
          <x14:formula1>
            <xm:f>'Base Costs'!$AU$26:$AU$48</xm:f>
          </x14:formula1>
          <xm:sqref>D35</xm:sqref>
        </x14:dataValidation>
        <x14:dataValidation type="list" allowBlank="1" showInputMessage="1" showErrorMessage="1" xr:uid="{00000000-0002-0000-0800-000003000000}">
          <x14:formula1>
            <xm:f>'Base Costs'!$AU$64:$AU$72</xm:f>
          </x14:formula1>
          <xm:sqref>D49:D56</xm:sqref>
        </x14:dataValidation>
        <x14:dataValidation type="list" allowBlank="1" showInputMessage="1" showErrorMessage="1" xr:uid="{00000000-0002-0000-0800-000004000000}">
          <x14:formula1>
            <xm:f>'Base Costs'!$AU$55:$AU$61</xm:f>
          </x14:formula1>
          <xm:sqref>D40:D47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theme="8" tint="0.79998168889431442"/>
    <pageSetUpPr fitToPage="1"/>
  </sheetPr>
  <dimension ref="A1:Q103"/>
  <sheetViews>
    <sheetView topLeftCell="A57" zoomScale="85" zoomScaleNormal="85" workbookViewId="0">
      <selection activeCell="R83" sqref="R83"/>
    </sheetView>
  </sheetViews>
  <sheetFormatPr baseColWidth="10" defaultColWidth="8.83203125" defaultRowHeight="15.75" customHeight="1" x14ac:dyDescent="0.2"/>
  <cols>
    <col min="1" max="1" width="2.5" style="299" customWidth="1"/>
    <col min="2" max="2" width="30.6640625" style="165" customWidth="1"/>
    <col min="3" max="3" width="11.83203125" style="165" customWidth="1"/>
    <col min="4" max="4" width="28.83203125" style="165" customWidth="1"/>
    <col min="5" max="5" width="11.1640625" style="165" customWidth="1"/>
    <col min="6" max="6" width="12.6640625" style="171" customWidth="1"/>
    <col min="7" max="7" width="13" style="171" customWidth="1"/>
    <col min="8" max="8" width="12.1640625" style="159" customWidth="1"/>
    <col min="9" max="9" width="14.6640625" style="171" hidden="1" customWidth="1"/>
    <col min="10" max="10" width="14.6640625" style="171" customWidth="1"/>
    <col min="11" max="11" width="12.83203125" style="171" customWidth="1"/>
    <col min="12" max="12" width="13.5" style="97" customWidth="1"/>
    <col min="13" max="13" width="15.83203125" style="164" customWidth="1"/>
    <col min="14" max="14" width="12.5" style="164" customWidth="1"/>
    <col min="15" max="15" width="33.33203125" style="165" customWidth="1"/>
    <col min="16" max="16" width="16.6640625" style="165" customWidth="1"/>
    <col min="17" max="17" width="9.1640625" style="166" customWidth="1"/>
    <col min="18" max="16384" width="8.83203125" style="165"/>
  </cols>
  <sheetData>
    <row r="1" spans="1:17" ht="19" x14ac:dyDescent="0.2">
      <c r="B1" s="1164" t="s">
        <v>71</v>
      </c>
      <c r="C1" s="1164"/>
      <c r="D1" s="1164"/>
      <c r="E1" s="160"/>
      <c r="F1" s="161"/>
      <c r="G1" s="162"/>
      <c r="H1" s="163"/>
      <c r="I1" s="161"/>
      <c r="J1" s="161"/>
      <c r="K1" s="585" t="str">
        <f>CONTRACT!K1</f>
        <v>JUN25-19.2</v>
      </c>
    </row>
    <row r="2" spans="1:17" ht="15.75" customHeight="1" x14ac:dyDescent="0.2">
      <c r="B2" s="167"/>
      <c r="C2" s="167"/>
      <c r="D2" s="167"/>
      <c r="E2" s="168"/>
      <c r="F2" s="169"/>
      <c r="G2" s="169"/>
      <c r="H2" s="170"/>
      <c r="O2" s="166"/>
      <c r="Q2" s="165"/>
    </row>
    <row r="3" spans="1:17" ht="15.75" customHeight="1" x14ac:dyDescent="0.2">
      <c r="C3" s="172"/>
      <c r="D3" s="173"/>
      <c r="F3" s="174"/>
      <c r="G3" s="159"/>
      <c r="H3" s="175"/>
      <c r="I3" s="159"/>
      <c r="J3" s="159"/>
      <c r="O3" s="166"/>
      <c r="Q3" s="165"/>
    </row>
    <row r="4" spans="1:17" ht="15.75" customHeight="1" x14ac:dyDescent="0.2">
      <c r="B4" s="176" t="s">
        <v>728</v>
      </c>
      <c r="C4" s="1155" t="str">
        <f>IF(CANOPY!C3="","",CANOPY!C3)</f>
        <v/>
      </c>
      <c r="D4" s="1155"/>
      <c r="F4" s="177" t="s">
        <v>75</v>
      </c>
      <c r="G4" s="1156" t="str">
        <f>IF(CANOPY!G3="","",CANOPY!G3)</f>
        <v/>
      </c>
      <c r="H4" s="1156"/>
      <c r="I4" s="1154"/>
      <c r="J4" s="1154"/>
      <c r="K4" s="1154"/>
      <c r="O4" s="166"/>
      <c r="Q4" s="165"/>
    </row>
    <row r="5" spans="1:17" ht="15.75" customHeight="1" x14ac:dyDescent="0.2">
      <c r="C5" s="51"/>
      <c r="D5" s="51"/>
      <c r="E5" s="178"/>
      <c r="F5" s="179"/>
      <c r="G5" s="359"/>
      <c r="H5" s="359"/>
      <c r="I5" s="159"/>
      <c r="J5" s="159"/>
      <c r="K5" s="175"/>
      <c r="O5" s="166"/>
      <c r="Q5" s="165"/>
    </row>
    <row r="6" spans="1:17" ht="15.75" customHeight="1" x14ac:dyDescent="0.2">
      <c r="B6" s="176" t="s">
        <v>72</v>
      </c>
      <c r="C6" s="1155" t="str">
        <f>IF(CANOPY!C5="","",CANOPY!C5)</f>
        <v/>
      </c>
      <c r="D6" s="1155"/>
      <c r="E6" s="173"/>
      <c r="F6" s="177" t="s">
        <v>74</v>
      </c>
      <c r="G6" s="1156" t="str">
        <f>IF(CANOPY!G5="","",CANOPY!G5)</f>
        <v/>
      </c>
      <c r="H6" s="1156"/>
      <c r="I6" s="1154"/>
      <c r="J6" s="1154"/>
      <c r="K6" s="1154"/>
      <c r="O6" s="166"/>
      <c r="Q6" s="165"/>
    </row>
    <row r="7" spans="1:17" ht="15.75" customHeight="1" x14ac:dyDescent="0.2">
      <c r="B7" s="176"/>
      <c r="C7" s="176"/>
      <c r="D7" s="180"/>
      <c r="E7" s="180"/>
      <c r="F7" s="179"/>
      <c r="G7" s="359"/>
      <c r="H7" s="470"/>
      <c r="I7" s="159"/>
      <c r="J7" s="159"/>
      <c r="K7" s="159"/>
      <c r="L7" s="112"/>
      <c r="O7" s="166"/>
      <c r="Q7" s="165"/>
    </row>
    <row r="8" spans="1:17" ht="15.75" customHeight="1" x14ac:dyDescent="0.2">
      <c r="B8" s="80" t="s">
        <v>729</v>
      </c>
      <c r="C8" s="1161"/>
      <c r="D8" s="1161"/>
      <c r="E8" s="180"/>
      <c r="F8" s="181" t="s">
        <v>73</v>
      </c>
      <c r="G8" s="1157" t="str">
        <f>IF(CANOPY!G7="","",CANOPY!G7)</f>
        <v/>
      </c>
      <c r="H8" s="1157"/>
      <c r="J8" s="187" t="s">
        <v>76</v>
      </c>
      <c r="K8" s="590"/>
      <c r="L8" s="467"/>
      <c r="O8" s="166"/>
      <c r="Q8" s="165"/>
    </row>
    <row r="9" spans="1:17" ht="15.75" customHeight="1" x14ac:dyDescent="0.2">
      <c r="D9" s="182"/>
      <c r="E9" s="178"/>
      <c r="F9" s="159"/>
      <c r="G9" s="159"/>
      <c r="H9" s="175"/>
      <c r="I9" s="170"/>
      <c r="J9" s="170"/>
      <c r="L9" s="467"/>
      <c r="O9" s="166"/>
      <c r="Q9" s="165"/>
    </row>
    <row r="10" spans="1:17" s="173" customFormat="1" ht="15.75" customHeight="1" x14ac:dyDescent="0.2">
      <c r="A10" s="300"/>
      <c r="B10" s="38" t="s">
        <v>348</v>
      </c>
      <c r="C10" s="373"/>
      <c r="D10" s="377">
        <f>IF(C10=0,0,(SUBTOTAL(9,I13:I88)/(1-C10))-I10)</f>
        <v>0</v>
      </c>
      <c r="G10" s="25" t="e">
        <f>SUBTOTAL(9,G14:G88)</f>
        <v>#N/A</v>
      </c>
      <c r="H10" s="15" t="e">
        <f>IF(K10=0,"-",K10/I10)</f>
        <v>#N/A</v>
      </c>
      <c r="I10" s="25" t="e">
        <f>SUBTOTAL(9,I14:I88)</f>
        <v>#N/A</v>
      </c>
      <c r="J10" s="464" t="e">
        <f>SUBTOTAL(9,J14:J88)</f>
        <v>#N/A</v>
      </c>
      <c r="K10" s="25" t="e">
        <f>SUBTOTAL(9,K14:K88)</f>
        <v>#N/A</v>
      </c>
      <c r="L10" s="468"/>
      <c r="M10" s="164"/>
      <c r="N10" s="164"/>
      <c r="O10" s="185"/>
    </row>
    <row r="11" spans="1:17" s="173" customFormat="1" ht="15.75" customHeight="1" x14ac:dyDescent="0.2">
      <c r="A11" s="300"/>
      <c r="B11" s="375" t="s">
        <v>348</v>
      </c>
      <c r="C11" s="375" t="s">
        <v>537</v>
      </c>
      <c r="D11" s="375" t="s">
        <v>536</v>
      </c>
      <c r="E11" s="375"/>
      <c r="F11" s="375" t="s">
        <v>204</v>
      </c>
      <c r="G11" s="375" t="s">
        <v>34</v>
      </c>
      <c r="H11" s="375" t="s">
        <v>141</v>
      </c>
      <c r="I11" s="375" t="s">
        <v>205</v>
      </c>
      <c r="J11" s="375" t="s">
        <v>205</v>
      </c>
      <c r="K11" s="375" t="s">
        <v>206</v>
      </c>
      <c r="L11" s="97"/>
      <c r="M11" s="164"/>
      <c r="N11" s="164"/>
      <c r="Q11" s="185"/>
    </row>
    <row r="12" spans="1:17" s="173" customFormat="1" ht="15.75" customHeight="1" x14ac:dyDescent="0.2">
      <c r="A12" s="300"/>
      <c r="B12" s="176"/>
      <c r="C12" s="176"/>
      <c r="D12" s="176"/>
      <c r="E12" s="176"/>
      <c r="F12" s="187"/>
      <c r="G12" s="187"/>
      <c r="H12" s="187"/>
      <c r="I12" s="187"/>
      <c r="J12" s="187"/>
      <c r="K12" s="171"/>
      <c r="L12" s="469"/>
      <c r="M12" s="164"/>
      <c r="N12" s="164"/>
      <c r="Q12" s="185"/>
    </row>
    <row r="13" spans="1:17" ht="15.75" customHeight="1" x14ac:dyDescent="0.2">
      <c r="B13" s="24" t="s">
        <v>50</v>
      </c>
      <c r="C13" s="188" t="s">
        <v>2</v>
      </c>
      <c r="D13" s="24" t="s">
        <v>1</v>
      </c>
      <c r="E13" s="188" t="s">
        <v>236</v>
      </c>
      <c r="F13" s="189"/>
      <c r="G13" s="61">
        <f>SUBTOTAL(9,G14:G31)</f>
        <v>0</v>
      </c>
      <c r="H13" s="145" t="str">
        <f>IF(G13=0,"-",K13/I13)</f>
        <v>-</v>
      </c>
      <c r="I13" s="61">
        <f>SUBTOTAL(9,I14:I31)</f>
        <v>0</v>
      </c>
      <c r="J13" s="465">
        <f>SUBTOTAL(9,J14:J31)</f>
        <v>0</v>
      </c>
      <c r="K13" s="61">
        <f>SUBTOTAL(9,K14:K31)</f>
        <v>0</v>
      </c>
      <c r="L13" s="469"/>
      <c r="O13" s="164"/>
      <c r="P13" s="164"/>
    </row>
    <row r="14" spans="1:17" ht="15.75" customHeight="1" x14ac:dyDescent="0.2">
      <c r="A14" s="299">
        <v>270</v>
      </c>
      <c r="B14" s="269" t="s">
        <v>463</v>
      </c>
      <c r="C14" s="314"/>
      <c r="D14" s="269" t="s">
        <v>475</v>
      </c>
      <c r="E14" s="315">
        <v>15</v>
      </c>
      <c r="F14" s="380">
        <f>'Base Costs'!AX6</f>
        <v>683.56220000000008</v>
      </c>
      <c r="G14" s="378">
        <f>C14*F14</f>
        <v>0</v>
      </c>
      <c r="H14" s="381">
        <v>0.44</v>
      </c>
      <c r="I14" s="311">
        <f t="shared" ref="I14:I31" si="0">G14/(1-H14)*(1+$C$10)</f>
        <v>0</v>
      </c>
      <c r="J14" s="378">
        <f>I14*VLOOKUP($B$10,'Base Costs'!$A$32:$B$37,2,FALSE)</f>
        <v>0</v>
      </c>
      <c r="K14" s="379">
        <f t="shared" ref="K14:K31" si="1">I14-G14</f>
        <v>0</v>
      </c>
      <c r="L14" s="469"/>
      <c r="O14" s="164"/>
      <c r="P14" s="164"/>
    </row>
    <row r="15" spans="1:17" ht="15.75" customHeight="1" x14ac:dyDescent="0.2">
      <c r="A15" s="299">
        <v>270</v>
      </c>
      <c r="B15" s="269" t="s">
        <v>463</v>
      </c>
      <c r="C15" s="314"/>
      <c r="D15" s="269" t="s">
        <v>476</v>
      </c>
      <c r="E15" s="315">
        <v>15</v>
      </c>
      <c r="F15" s="380">
        <f>'Base Costs'!AX7</f>
        <v>858.30320000000006</v>
      </c>
      <c r="G15" s="378">
        <f t="shared" ref="G15:G31" si="2">C15*F15</f>
        <v>0</v>
      </c>
      <c r="H15" s="381">
        <v>0.44</v>
      </c>
      <c r="I15" s="311">
        <f t="shared" si="0"/>
        <v>0</v>
      </c>
      <c r="J15" s="378">
        <f>I15*VLOOKUP($B$10,'Base Costs'!$A$32:$B$37,2,FALSE)</f>
        <v>0</v>
      </c>
      <c r="K15" s="379">
        <f t="shared" si="1"/>
        <v>0</v>
      </c>
      <c r="L15" s="469"/>
      <c r="O15" s="164"/>
      <c r="P15" s="164"/>
    </row>
    <row r="16" spans="1:17" ht="15.75" customHeight="1" x14ac:dyDescent="0.2">
      <c r="A16" s="299">
        <v>270</v>
      </c>
      <c r="B16" s="269" t="s">
        <v>464</v>
      </c>
      <c r="C16" s="314"/>
      <c r="D16" s="269" t="s">
        <v>477</v>
      </c>
      <c r="E16" s="315">
        <v>12</v>
      </c>
      <c r="F16" s="380">
        <f>'Base Costs'!AX8</f>
        <v>514.32259999999997</v>
      </c>
      <c r="G16" s="378">
        <f t="shared" si="2"/>
        <v>0</v>
      </c>
      <c r="H16" s="381">
        <v>0.44</v>
      </c>
      <c r="I16" s="311">
        <f t="shared" si="0"/>
        <v>0</v>
      </c>
      <c r="J16" s="378">
        <f>I16*VLOOKUP($B$10,'Base Costs'!$A$32:$B$37,2,FALSE)</f>
        <v>0</v>
      </c>
      <c r="K16" s="379">
        <f t="shared" si="1"/>
        <v>0</v>
      </c>
      <c r="L16" s="469"/>
      <c r="O16" s="164"/>
      <c r="P16" s="164"/>
    </row>
    <row r="17" spans="1:16" ht="15.75" customHeight="1" x14ac:dyDescent="0.2">
      <c r="A17" s="299">
        <v>270</v>
      </c>
      <c r="B17" s="269" t="s">
        <v>464</v>
      </c>
      <c r="C17" s="314"/>
      <c r="D17" s="269" t="s">
        <v>478</v>
      </c>
      <c r="E17" s="315">
        <v>13</v>
      </c>
      <c r="F17" s="380">
        <f>'Base Costs'!AX9</f>
        <v>660.80399999999997</v>
      </c>
      <c r="G17" s="378">
        <f t="shared" si="2"/>
        <v>0</v>
      </c>
      <c r="H17" s="381">
        <v>0.44</v>
      </c>
      <c r="I17" s="311">
        <f t="shared" si="0"/>
        <v>0</v>
      </c>
      <c r="J17" s="378">
        <f>I17*VLOOKUP($B$10,'Base Costs'!$A$32:$B$37,2,FALSE)</f>
        <v>0</v>
      </c>
      <c r="K17" s="379">
        <f t="shared" si="1"/>
        <v>0</v>
      </c>
      <c r="L17" s="469"/>
      <c r="O17" s="164"/>
      <c r="P17" s="164"/>
    </row>
    <row r="18" spans="1:16" ht="15.75" customHeight="1" x14ac:dyDescent="0.2">
      <c r="A18" s="299">
        <v>270</v>
      </c>
      <c r="B18" s="269" t="s">
        <v>464</v>
      </c>
      <c r="C18" s="314"/>
      <c r="D18" s="269" t="s">
        <v>479</v>
      </c>
      <c r="E18" s="315">
        <v>13</v>
      </c>
      <c r="F18" s="380">
        <f>'Base Costs'!AX10</f>
        <v>750.53300000000002</v>
      </c>
      <c r="G18" s="378">
        <f t="shared" si="2"/>
        <v>0</v>
      </c>
      <c r="H18" s="381">
        <v>0.44</v>
      </c>
      <c r="I18" s="311">
        <f t="shared" si="0"/>
        <v>0</v>
      </c>
      <c r="J18" s="378">
        <f>I18*VLOOKUP($B$10,'Base Costs'!$A$32:$B$37,2,FALSE)</f>
        <v>0</v>
      </c>
      <c r="K18" s="379">
        <f t="shared" si="1"/>
        <v>0</v>
      </c>
      <c r="L18" s="469"/>
      <c r="O18" s="164"/>
      <c r="P18" s="164"/>
    </row>
    <row r="19" spans="1:16" ht="15.75" customHeight="1" x14ac:dyDescent="0.2">
      <c r="A19" s="299">
        <v>270</v>
      </c>
      <c r="B19" s="269" t="s">
        <v>465</v>
      </c>
      <c r="C19" s="314"/>
      <c r="D19" s="269" t="s">
        <v>477</v>
      </c>
      <c r="E19" s="315">
        <v>9</v>
      </c>
      <c r="F19" s="380">
        <f>'Base Costs'!AX11</f>
        <v>412.7004</v>
      </c>
      <c r="G19" s="378">
        <f t="shared" si="2"/>
        <v>0</v>
      </c>
      <c r="H19" s="381">
        <v>0.44</v>
      </c>
      <c r="I19" s="311">
        <f t="shared" si="0"/>
        <v>0</v>
      </c>
      <c r="J19" s="378">
        <f>I19*VLOOKUP($B$10,'Base Costs'!$A$32:$B$37,2,FALSE)</f>
        <v>0</v>
      </c>
      <c r="K19" s="379">
        <f t="shared" si="1"/>
        <v>0</v>
      </c>
      <c r="L19" s="469"/>
      <c r="O19" s="164"/>
      <c r="P19" s="164"/>
    </row>
    <row r="20" spans="1:16" ht="15.75" customHeight="1" x14ac:dyDescent="0.2">
      <c r="A20" s="299">
        <v>270</v>
      </c>
      <c r="B20" s="269" t="s">
        <v>465</v>
      </c>
      <c r="C20" s="314"/>
      <c r="D20" s="269" t="s">
        <v>478</v>
      </c>
      <c r="E20" s="315">
        <v>10</v>
      </c>
      <c r="F20" s="380">
        <f>'Base Costs'!AX12</f>
        <v>535.6816</v>
      </c>
      <c r="G20" s="378">
        <f t="shared" si="2"/>
        <v>0</v>
      </c>
      <c r="H20" s="381">
        <v>0.44</v>
      </c>
      <c r="I20" s="311">
        <f t="shared" si="0"/>
        <v>0</v>
      </c>
      <c r="J20" s="378">
        <f>I20*VLOOKUP($B$10,'Base Costs'!$A$32:$B$37,2,FALSE)</f>
        <v>0</v>
      </c>
      <c r="K20" s="379">
        <f t="shared" si="1"/>
        <v>0</v>
      </c>
      <c r="L20" s="469"/>
      <c r="O20" s="164"/>
      <c r="P20" s="164"/>
    </row>
    <row r="21" spans="1:16" ht="15.75" customHeight="1" x14ac:dyDescent="0.2">
      <c r="A21" s="299">
        <v>270</v>
      </c>
      <c r="B21" s="269" t="s">
        <v>465</v>
      </c>
      <c r="C21" s="314"/>
      <c r="D21" s="269" t="s">
        <v>479</v>
      </c>
      <c r="E21" s="315">
        <v>10</v>
      </c>
      <c r="F21" s="380">
        <f>'Base Costs'!AX13</f>
        <v>625.4</v>
      </c>
      <c r="G21" s="378">
        <f t="shared" si="2"/>
        <v>0</v>
      </c>
      <c r="H21" s="381">
        <v>0.44</v>
      </c>
      <c r="I21" s="311">
        <f t="shared" si="0"/>
        <v>0</v>
      </c>
      <c r="J21" s="378">
        <f>I21*VLOOKUP($B$10,'Base Costs'!$A$32:$B$37,2,FALSE)</f>
        <v>0</v>
      </c>
      <c r="K21" s="379">
        <f t="shared" si="1"/>
        <v>0</v>
      </c>
      <c r="L21" s="469"/>
      <c r="O21" s="164"/>
      <c r="P21" s="164"/>
    </row>
    <row r="22" spans="1:16" ht="15.75" customHeight="1" x14ac:dyDescent="0.2">
      <c r="A22" s="299">
        <v>270</v>
      </c>
      <c r="B22" s="269" t="s">
        <v>466</v>
      </c>
      <c r="C22" s="314"/>
      <c r="D22" s="269" t="s">
        <v>480</v>
      </c>
      <c r="E22" s="315">
        <v>12</v>
      </c>
      <c r="F22" s="380">
        <f>'Base Costs'!AX14</f>
        <v>877.40440000000001</v>
      </c>
      <c r="G22" s="378">
        <f t="shared" si="2"/>
        <v>0</v>
      </c>
      <c r="H22" s="381">
        <v>0.44</v>
      </c>
      <c r="I22" s="311">
        <f t="shared" si="0"/>
        <v>0</v>
      </c>
      <c r="J22" s="378">
        <f>I22*VLOOKUP($B$10,'Base Costs'!$A$32:$B$37,2,FALSE)</f>
        <v>0</v>
      </c>
      <c r="K22" s="379">
        <f t="shared" si="1"/>
        <v>0</v>
      </c>
      <c r="L22" s="469"/>
      <c r="O22" s="164"/>
      <c r="P22" s="164"/>
    </row>
    <row r="23" spans="1:16" ht="15.75" customHeight="1" x14ac:dyDescent="0.2">
      <c r="A23" s="299">
        <v>270</v>
      </c>
      <c r="B23" s="269" t="s">
        <v>466</v>
      </c>
      <c r="C23" s="314"/>
      <c r="D23" s="269" t="s">
        <v>481</v>
      </c>
      <c r="E23" s="315">
        <v>13</v>
      </c>
      <c r="F23" s="380">
        <f>'Base Costs'!AX15</f>
        <v>1061.6218000000001</v>
      </c>
      <c r="G23" s="378">
        <f t="shared" si="2"/>
        <v>0</v>
      </c>
      <c r="H23" s="381">
        <v>0.44</v>
      </c>
      <c r="I23" s="311">
        <f t="shared" si="0"/>
        <v>0</v>
      </c>
      <c r="J23" s="378">
        <f>I23*VLOOKUP($B$10,'Base Costs'!$A$32:$B$37,2,FALSE)</f>
        <v>0</v>
      </c>
      <c r="K23" s="379">
        <f t="shared" si="1"/>
        <v>0</v>
      </c>
      <c r="L23" s="469"/>
      <c r="O23" s="164"/>
      <c r="P23" s="164"/>
    </row>
    <row r="24" spans="1:16" ht="15.75" customHeight="1" x14ac:dyDescent="0.2">
      <c r="A24" s="299">
        <v>270</v>
      </c>
      <c r="B24" s="269" t="s">
        <v>466</v>
      </c>
      <c r="C24" s="314"/>
      <c r="D24" s="269" t="s">
        <v>482</v>
      </c>
      <c r="E24" s="315">
        <v>13</v>
      </c>
      <c r="F24" s="380">
        <f>'Base Costs'!AX16</f>
        <v>1326.2084000000002</v>
      </c>
      <c r="G24" s="378">
        <f t="shared" si="2"/>
        <v>0</v>
      </c>
      <c r="H24" s="381">
        <v>0.44</v>
      </c>
      <c r="I24" s="311">
        <f t="shared" si="0"/>
        <v>0</v>
      </c>
      <c r="J24" s="378">
        <f>I24*VLOOKUP($B$10,'Base Costs'!$A$32:$B$37,2,FALSE)</f>
        <v>0</v>
      </c>
      <c r="K24" s="379">
        <f t="shared" si="1"/>
        <v>0</v>
      </c>
      <c r="L24" s="469"/>
      <c r="O24" s="164"/>
      <c r="P24" s="164"/>
    </row>
    <row r="25" spans="1:16" ht="15.75" customHeight="1" x14ac:dyDescent="0.2">
      <c r="A25" s="299">
        <v>268</v>
      </c>
      <c r="B25" s="269" t="s">
        <v>6</v>
      </c>
      <c r="C25" s="314"/>
      <c r="D25" s="269" t="s">
        <v>483</v>
      </c>
      <c r="E25" s="315">
        <v>12</v>
      </c>
      <c r="F25" s="380">
        <f>'Base Costs'!AX18</f>
        <v>476.95760000000001</v>
      </c>
      <c r="G25" s="378">
        <f t="shared" si="2"/>
        <v>0</v>
      </c>
      <c r="H25" s="381">
        <v>0.44</v>
      </c>
      <c r="I25" s="311">
        <f t="shared" si="0"/>
        <v>0</v>
      </c>
      <c r="J25" s="378">
        <f>I25*VLOOKUP($B$10,'Base Costs'!$A$32:$B$37,2,FALSE)</f>
        <v>0</v>
      </c>
      <c r="K25" s="379">
        <f t="shared" si="1"/>
        <v>0</v>
      </c>
      <c r="L25" s="469"/>
      <c r="O25" s="164"/>
      <c r="P25" s="164"/>
    </row>
    <row r="26" spans="1:16" ht="15.75" customHeight="1" x14ac:dyDescent="0.2">
      <c r="A26" s="299">
        <v>268</v>
      </c>
      <c r="B26" s="269" t="s">
        <v>6</v>
      </c>
      <c r="C26" s="314"/>
      <c r="D26" s="269" t="s">
        <v>484</v>
      </c>
      <c r="E26" s="315">
        <v>14</v>
      </c>
      <c r="F26" s="380">
        <f>'Base Costs'!AX19</f>
        <v>633.62560000000008</v>
      </c>
      <c r="G26" s="378">
        <f t="shared" si="2"/>
        <v>0</v>
      </c>
      <c r="H26" s="381">
        <v>0.44</v>
      </c>
      <c r="I26" s="311">
        <f t="shared" si="0"/>
        <v>0</v>
      </c>
      <c r="J26" s="378">
        <f>I26*VLOOKUP($B$10,'Base Costs'!$A$32:$B$37,2,FALSE)</f>
        <v>0</v>
      </c>
      <c r="K26" s="379">
        <f t="shared" si="1"/>
        <v>0</v>
      </c>
      <c r="L26" s="469"/>
      <c r="O26" s="164"/>
      <c r="P26" s="164"/>
    </row>
    <row r="27" spans="1:16" ht="15.75" customHeight="1" x14ac:dyDescent="0.2">
      <c r="A27" s="299">
        <v>268</v>
      </c>
      <c r="B27" s="269" t="s">
        <v>6</v>
      </c>
      <c r="C27" s="314"/>
      <c r="D27" s="269" t="s">
        <v>485</v>
      </c>
      <c r="E27" s="315">
        <v>16</v>
      </c>
      <c r="F27" s="380">
        <f>'Base Costs'!AX20</f>
        <v>734.64359999999999</v>
      </c>
      <c r="G27" s="378">
        <f t="shared" si="2"/>
        <v>0</v>
      </c>
      <c r="H27" s="381">
        <v>0.44</v>
      </c>
      <c r="I27" s="311">
        <f t="shared" si="0"/>
        <v>0</v>
      </c>
      <c r="J27" s="378">
        <f>I27*VLOOKUP($B$10,'Base Costs'!$A$32:$B$37,2,FALSE)</f>
        <v>0</v>
      </c>
      <c r="K27" s="379">
        <f t="shared" si="1"/>
        <v>0</v>
      </c>
      <c r="L27" s="469"/>
      <c r="O27" s="164"/>
      <c r="P27" s="164"/>
    </row>
    <row r="28" spans="1:16" ht="15.75" customHeight="1" x14ac:dyDescent="0.2">
      <c r="A28" s="299">
        <v>268</v>
      </c>
      <c r="B28" s="269" t="s">
        <v>7</v>
      </c>
      <c r="C28" s="314"/>
      <c r="D28" s="269" t="s">
        <v>437</v>
      </c>
      <c r="E28" s="315">
        <v>3</v>
      </c>
      <c r="F28" s="380">
        <f>'Base Costs'!AX21</f>
        <v>188.36199999999999</v>
      </c>
      <c r="G28" s="378">
        <f t="shared" si="2"/>
        <v>0</v>
      </c>
      <c r="H28" s="381">
        <v>0.44</v>
      </c>
      <c r="I28" s="311">
        <f t="shared" si="0"/>
        <v>0</v>
      </c>
      <c r="J28" s="378">
        <f>I28*VLOOKUP($B$10,'Base Costs'!$A$32:$B$37,2,FALSE)</f>
        <v>0</v>
      </c>
      <c r="K28" s="379">
        <f t="shared" si="1"/>
        <v>0</v>
      </c>
      <c r="L28" s="469"/>
      <c r="O28" s="164"/>
      <c r="P28" s="164"/>
    </row>
    <row r="29" spans="1:16" ht="15.75" customHeight="1" x14ac:dyDescent="0.2">
      <c r="A29" s="299">
        <v>268</v>
      </c>
      <c r="B29" s="269" t="s">
        <v>51</v>
      </c>
      <c r="C29" s="314"/>
      <c r="D29" s="269" t="s">
        <v>486</v>
      </c>
      <c r="E29" s="315">
        <v>6</v>
      </c>
      <c r="F29" s="380">
        <f>'Base Costs'!AX22</f>
        <v>700</v>
      </c>
      <c r="G29" s="378">
        <f t="shared" si="2"/>
        <v>0</v>
      </c>
      <c r="H29" s="381">
        <v>0.44</v>
      </c>
      <c r="I29" s="311">
        <f t="shared" si="0"/>
        <v>0</v>
      </c>
      <c r="J29" s="378">
        <f>I29*VLOOKUP($B$10,'Base Costs'!$A$32:$B$37,2,FALSE)</f>
        <v>0</v>
      </c>
      <c r="K29" s="379">
        <f t="shared" si="1"/>
        <v>0</v>
      </c>
      <c r="L29" s="469"/>
      <c r="O29" s="164"/>
      <c r="P29" s="164"/>
    </row>
    <row r="30" spans="1:16" ht="15.75" customHeight="1" x14ac:dyDescent="0.2">
      <c r="A30" s="299">
        <v>268</v>
      </c>
      <c r="B30" s="269" t="s">
        <v>52</v>
      </c>
      <c r="C30" s="314"/>
      <c r="D30" s="269" t="s">
        <v>486</v>
      </c>
      <c r="E30" s="315">
        <v>3</v>
      </c>
      <c r="F30" s="380">
        <f>'Base Costs'!AX23</f>
        <v>380</v>
      </c>
      <c r="G30" s="378">
        <f t="shared" si="2"/>
        <v>0</v>
      </c>
      <c r="H30" s="381">
        <v>0.44</v>
      </c>
      <c r="I30" s="311">
        <f t="shared" si="0"/>
        <v>0</v>
      </c>
      <c r="J30" s="378">
        <f>I30*VLOOKUP($B$10,'Base Costs'!$A$32:$B$37,2,FALSE)</f>
        <v>0</v>
      </c>
      <c r="K30" s="379">
        <f t="shared" si="1"/>
        <v>0</v>
      </c>
      <c r="L30" s="469"/>
      <c r="O30" s="164"/>
      <c r="P30" s="164"/>
    </row>
    <row r="31" spans="1:16" ht="15.75" customHeight="1" x14ac:dyDescent="0.2">
      <c r="A31" s="299">
        <v>268</v>
      </c>
      <c r="B31" s="269" t="s">
        <v>53</v>
      </c>
      <c r="C31" s="314"/>
      <c r="D31" s="269" t="s">
        <v>437</v>
      </c>
      <c r="E31" s="315">
        <v>3</v>
      </c>
      <c r="F31" s="380">
        <f>'Base Costs'!AX24</f>
        <v>358</v>
      </c>
      <c r="G31" s="378">
        <f t="shared" si="2"/>
        <v>0</v>
      </c>
      <c r="H31" s="381">
        <v>0.44</v>
      </c>
      <c r="I31" s="311">
        <f t="shared" si="0"/>
        <v>0</v>
      </c>
      <c r="J31" s="378">
        <f>I31*VLOOKUP($B$10,'Base Costs'!$A$32:$B$37,2,FALSE)</f>
        <v>0</v>
      </c>
      <c r="K31" s="379">
        <f t="shared" si="1"/>
        <v>0</v>
      </c>
      <c r="L31" s="469"/>
      <c r="O31" s="164"/>
      <c r="P31" s="164"/>
    </row>
    <row r="32" spans="1:16" ht="15.75" customHeight="1" x14ac:dyDescent="0.2">
      <c r="B32" s="190" t="s">
        <v>437</v>
      </c>
      <c r="C32" s="186"/>
      <c r="D32" s="190" t="s">
        <v>437</v>
      </c>
      <c r="E32" s="190"/>
      <c r="F32" s="296"/>
      <c r="G32" s="296"/>
      <c r="H32" s="297"/>
      <c r="I32" s="296"/>
      <c r="J32" s="296"/>
      <c r="K32" s="183"/>
      <c r="L32" s="469"/>
      <c r="O32" s="164"/>
      <c r="P32" s="164"/>
    </row>
    <row r="33" spans="1:16" ht="15.75" customHeight="1" thickBot="1" x14ac:dyDescent="0.25">
      <c r="B33" s="24" t="s">
        <v>54</v>
      </c>
      <c r="C33" s="192"/>
      <c r="D33" s="193" t="s">
        <v>437</v>
      </c>
      <c r="E33" s="193"/>
      <c r="F33" s="298"/>
      <c r="G33" s="61">
        <f>SUBTOTAL(9,G34:G54)</f>
        <v>0</v>
      </c>
      <c r="H33" s="39" t="str">
        <f>IF(G33=0,"-",K33/I33)</f>
        <v>-</v>
      </c>
      <c r="I33" s="61">
        <f t="shared" ref="I33:K33" si="3">SUBTOTAL(9,I34:I54)</f>
        <v>0</v>
      </c>
      <c r="J33" s="465">
        <f t="shared" si="3"/>
        <v>0</v>
      </c>
      <c r="K33" s="61">
        <f t="shared" si="3"/>
        <v>0</v>
      </c>
      <c r="L33" s="469"/>
      <c r="O33" s="164"/>
      <c r="P33" s="164"/>
    </row>
    <row r="34" spans="1:16" ht="15.75" customHeight="1" thickBot="1" x14ac:dyDescent="0.3">
      <c r="A34" s="299">
        <v>266</v>
      </c>
      <c r="B34" s="269" t="s">
        <v>467</v>
      </c>
      <c r="C34" s="314"/>
      <c r="D34" s="269" t="s">
        <v>487</v>
      </c>
      <c r="E34" s="269"/>
      <c r="F34" s="380">
        <f>'Base Costs'!AX27</f>
        <v>0</v>
      </c>
      <c r="G34" s="378">
        <f t="shared" ref="G34:G54" si="4">C34*F34</f>
        <v>0</v>
      </c>
      <c r="H34" s="381">
        <v>0.37</v>
      </c>
      <c r="I34" s="378">
        <f t="shared" ref="I34:I54" si="5">G34/(1-H34)*(1+$C$10)</f>
        <v>0</v>
      </c>
      <c r="J34" s="378">
        <f>I34*VLOOKUP($B$10,'Base Costs'!$A$32:$B$37,2,FALSE)</f>
        <v>0</v>
      </c>
      <c r="K34" s="379">
        <f t="shared" ref="K34:K54" si="6">I34-G34</f>
        <v>0</v>
      </c>
      <c r="L34" s="469"/>
      <c r="M34" s="1162" t="s">
        <v>659</v>
      </c>
      <c r="N34" s="1163"/>
      <c r="O34" s="164"/>
      <c r="P34" s="164"/>
    </row>
    <row r="35" spans="1:16" ht="15.75" customHeight="1" x14ac:dyDescent="0.2">
      <c r="A35" s="299">
        <v>266</v>
      </c>
      <c r="B35" s="269" t="s">
        <v>467</v>
      </c>
      <c r="C35" s="314"/>
      <c r="D35" s="269" t="s">
        <v>488</v>
      </c>
      <c r="E35" s="269"/>
      <c r="F35" s="380">
        <f>'Base Costs'!AX50</f>
        <v>151.72839999999999</v>
      </c>
      <c r="G35" s="378">
        <f t="shared" si="4"/>
        <v>0</v>
      </c>
      <c r="H35" s="381">
        <v>0.37</v>
      </c>
      <c r="I35" s="378">
        <f t="shared" si="5"/>
        <v>0</v>
      </c>
      <c r="J35" s="378">
        <f>I35*VLOOKUP($B$10,'Base Costs'!$A$32:$B$37,2,FALSE)</f>
        <v>0</v>
      </c>
      <c r="K35" s="379">
        <f t="shared" si="6"/>
        <v>0</v>
      </c>
      <c r="L35" s="469"/>
      <c r="M35" s="569" t="s">
        <v>608</v>
      </c>
      <c r="N35" s="570"/>
      <c r="O35" s="164"/>
      <c r="P35" s="164"/>
    </row>
    <row r="36" spans="1:16" ht="15.75" customHeight="1" thickBot="1" x14ac:dyDescent="0.25">
      <c r="A36" s="299">
        <v>266</v>
      </c>
      <c r="B36" s="269" t="s">
        <v>468</v>
      </c>
      <c r="C36" s="314"/>
      <c r="D36" s="269" t="s">
        <v>488</v>
      </c>
      <c r="E36" s="269"/>
      <c r="F36" s="380">
        <f>'Base Costs'!AX51</f>
        <v>0</v>
      </c>
      <c r="G36" s="378">
        <f t="shared" si="4"/>
        <v>0</v>
      </c>
      <c r="H36" s="381">
        <v>0.37</v>
      </c>
      <c r="I36" s="378">
        <f t="shared" si="5"/>
        <v>0</v>
      </c>
      <c r="J36" s="378">
        <f>I36*VLOOKUP($B$10,'Base Costs'!$A$32:$B$37,2,FALSE)</f>
        <v>0</v>
      </c>
      <c r="K36" s="379">
        <f t="shared" si="6"/>
        <v>0</v>
      </c>
      <c r="L36" s="469"/>
      <c r="M36" s="571" t="s">
        <v>609</v>
      </c>
      <c r="N36" s="573">
        <v>400</v>
      </c>
      <c r="O36" s="164"/>
      <c r="P36" s="164"/>
    </row>
    <row r="37" spans="1:16" ht="15.75" customHeight="1" thickBot="1" x14ac:dyDescent="0.25">
      <c r="A37" s="299">
        <v>266</v>
      </c>
      <c r="B37" s="269" t="s">
        <v>469</v>
      </c>
      <c r="C37" s="314"/>
      <c r="D37" s="269" t="s">
        <v>437</v>
      </c>
      <c r="E37" s="269"/>
      <c r="F37" s="380">
        <f>'Base Costs'!AX52</f>
        <v>0</v>
      </c>
      <c r="G37" s="378">
        <f t="shared" si="4"/>
        <v>0</v>
      </c>
      <c r="H37" s="381">
        <v>0.37</v>
      </c>
      <c r="I37" s="378">
        <f t="shared" si="5"/>
        <v>0</v>
      </c>
      <c r="J37" s="378">
        <f>I37*VLOOKUP($B$10,'Base Costs'!$A$32:$B$37,2,FALSE)</f>
        <v>0</v>
      </c>
      <c r="K37" s="379">
        <f t="shared" si="6"/>
        <v>0</v>
      </c>
      <c r="L37" s="469"/>
      <c r="M37" s="572" t="s">
        <v>660</v>
      </c>
      <c r="N37" s="574">
        <f>IF((N36)="","0",((N35*1000)/(1.73205080756*N36)))</f>
        <v>0</v>
      </c>
      <c r="O37" s="164"/>
      <c r="P37" s="164"/>
    </row>
    <row r="38" spans="1:16" ht="15.75" customHeight="1" x14ac:dyDescent="0.2">
      <c r="A38" s="299">
        <v>266</v>
      </c>
      <c r="B38" s="269" t="s">
        <v>470</v>
      </c>
      <c r="C38" s="314"/>
      <c r="D38" s="269" t="s">
        <v>437</v>
      </c>
      <c r="E38" s="269"/>
      <c r="F38" s="380">
        <f>'Base Costs'!AX53</f>
        <v>38.213000000000001</v>
      </c>
      <c r="G38" s="378">
        <f t="shared" si="4"/>
        <v>0</v>
      </c>
      <c r="H38" s="381">
        <v>0.37</v>
      </c>
      <c r="I38" s="378">
        <f t="shared" si="5"/>
        <v>0</v>
      </c>
      <c r="J38" s="378">
        <f>I38*VLOOKUP($B$10,'Base Costs'!$A$32:$B$37,2,FALSE)</f>
        <v>0</v>
      </c>
      <c r="K38" s="379">
        <f t="shared" si="6"/>
        <v>0</v>
      </c>
      <c r="L38" s="469"/>
      <c r="O38" s="164"/>
      <c r="P38" s="164"/>
    </row>
    <row r="39" spans="1:16" ht="15.75" customHeight="1" x14ac:dyDescent="0.2">
      <c r="A39" s="299">
        <v>266</v>
      </c>
      <c r="B39" s="269" t="s">
        <v>471</v>
      </c>
      <c r="C39" s="314"/>
      <c r="D39" s="269" t="s">
        <v>721</v>
      </c>
      <c r="E39" s="269"/>
      <c r="F39" s="380">
        <f>'Base Costs'!AX54</f>
        <v>0</v>
      </c>
      <c r="G39" s="378">
        <f t="shared" si="4"/>
        <v>0</v>
      </c>
      <c r="H39" s="381">
        <v>0.37</v>
      </c>
      <c r="I39" s="378">
        <f t="shared" si="5"/>
        <v>0</v>
      </c>
      <c r="J39" s="378">
        <f>I39*VLOOKUP($B$10,'Base Costs'!$A$32:$B$37,2,FALSE)</f>
        <v>0</v>
      </c>
      <c r="K39" s="379">
        <f t="shared" si="6"/>
        <v>0</v>
      </c>
      <c r="L39" s="469"/>
      <c r="O39" s="164"/>
      <c r="P39" s="164"/>
    </row>
    <row r="40" spans="1:16" ht="15.75" customHeight="1" x14ac:dyDescent="0.2">
      <c r="A40" s="299">
        <v>266</v>
      </c>
      <c r="B40" s="269" t="s">
        <v>471</v>
      </c>
      <c r="C40" s="314"/>
      <c r="D40" s="269" t="s">
        <v>722</v>
      </c>
      <c r="E40" s="269"/>
      <c r="F40" s="380">
        <f>'Base Costs'!AX63</f>
        <v>0</v>
      </c>
      <c r="G40" s="378">
        <f t="shared" si="4"/>
        <v>0</v>
      </c>
      <c r="H40" s="381">
        <v>0.37</v>
      </c>
      <c r="I40" s="378">
        <f t="shared" si="5"/>
        <v>0</v>
      </c>
      <c r="J40" s="378">
        <f>I40*VLOOKUP($B$10,'Base Costs'!$A$32:$B$37,2,FALSE)</f>
        <v>0</v>
      </c>
      <c r="K40" s="379">
        <f t="shared" si="6"/>
        <v>0</v>
      </c>
      <c r="L40" s="469"/>
      <c r="O40" s="164"/>
      <c r="P40" s="164"/>
    </row>
    <row r="41" spans="1:16" ht="15.75" customHeight="1" x14ac:dyDescent="0.2">
      <c r="A41" s="299">
        <v>266</v>
      </c>
      <c r="B41" s="269" t="s">
        <v>472</v>
      </c>
      <c r="C41" s="314"/>
      <c r="D41" s="269" t="s">
        <v>723</v>
      </c>
      <c r="E41" s="269"/>
      <c r="F41" s="380">
        <f>'Base Costs'!AX75</f>
        <v>0</v>
      </c>
      <c r="G41" s="378">
        <f t="shared" si="4"/>
        <v>0</v>
      </c>
      <c r="H41" s="381">
        <v>0.37</v>
      </c>
      <c r="I41" s="378">
        <f t="shared" si="5"/>
        <v>0</v>
      </c>
      <c r="J41" s="378">
        <f>I41*VLOOKUP($B$10,'Base Costs'!$A$32:$B$37,2,FALSE)</f>
        <v>0</v>
      </c>
      <c r="K41" s="379">
        <f t="shared" si="6"/>
        <v>0</v>
      </c>
      <c r="L41" s="469"/>
      <c r="O41" s="164"/>
      <c r="P41" s="164"/>
    </row>
    <row r="42" spans="1:16" ht="15.75" customHeight="1" x14ac:dyDescent="0.2">
      <c r="A42" s="299">
        <v>266</v>
      </c>
      <c r="B42" s="269" t="s">
        <v>472</v>
      </c>
      <c r="C42" s="314"/>
      <c r="D42" s="269" t="s">
        <v>722</v>
      </c>
      <c r="E42" s="269"/>
      <c r="F42" s="380">
        <f>'Base Costs'!AX76</f>
        <v>0</v>
      </c>
      <c r="G42" s="378">
        <f t="shared" si="4"/>
        <v>0</v>
      </c>
      <c r="H42" s="381">
        <v>0.37</v>
      </c>
      <c r="I42" s="378">
        <f t="shared" si="5"/>
        <v>0</v>
      </c>
      <c r="J42" s="378">
        <f>I42*VLOOKUP($B$10,'Base Costs'!$A$32:$B$37,2,FALSE)</f>
        <v>0</v>
      </c>
      <c r="K42" s="379">
        <f t="shared" si="6"/>
        <v>0</v>
      </c>
      <c r="L42" s="469"/>
      <c r="O42" s="164"/>
      <c r="P42" s="164"/>
    </row>
    <row r="43" spans="1:16" ht="15.75" customHeight="1" x14ac:dyDescent="0.2">
      <c r="A43" s="299">
        <v>266</v>
      </c>
      <c r="B43" s="269" t="s">
        <v>472</v>
      </c>
      <c r="C43" s="314"/>
      <c r="D43" s="269" t="s">
        <v>724</v>
      </c>
      <c r="E43" s="269"/>
      <c r="F43" s="380">
        <f>'Base Costs'!AX77</f>
        <v>0</v>
      </c>
      <c r="G43" s="378">
        <f t="shared" si="4"/>
        <v>0</v>
      </c>
      <c r="H43" s="381">
        <v>0.37</v>
      </c>
      <c r="I43" s="378">
        <f t="shared" si="5"/>
        <v>0</v>
      </c>
      <c r="J43" s="378">
        <f>I43*VLOOKUP($B$10,'Base Costs'!$A$32:$B$37,2,FALSE)</f>
        <v>0</v>
      </c>
      <c r="K43" s="379">
        <f t="shared" si="6"/>
        <v>0</v>
      </c>
      <c r="L43" s="469"/>
      <c r="O43" s="164"/>
      <c r="P43" s="164"/>
    </row>
    <row r="44" spans="1:16" ht="15.75" customHeight="1" x14ac:dyDescent="0.2">
      <c r="A44" s="299">
        <v>266</v>
      </c>
      <c r="B44" s="269" t="s">
        <v>472</v>
      </c>
      <c r="C44" s="314"/>
      <c r="D44" s="269" t="s">
        <v>725</v>
      </c>
      <c r="E44" s="269"/>
      <c r="F44" s="380">
        <f>'Base Costs'!AX78</f>
        <v>0</v>
      </c>
      <c r="G44" s="378">
        <f t="shared" si="4"/>
        <v>0</v>
      </c>
      <c r="H44" s="381">
        <v>0.37</v>
      </c>
      <c r="I44" s="378">
        <f t="shared" si="5"/>
        <v>0</v>
      </c>
      <c r="J44" s="378">
        <f>I44*VLOOKUP($B$10,'Base Costs'!$A$32:$B$37,2,FALSE)</f>
        <v>0</v>
      </c>
      <c r="K44" s="379">
        <f t="shared" si="6"/>
        <v>0</v>
      </c>
      <c r="L44" s="469"/>
      <c r="O44" s="164"/>
      <c r="P44" s="164"/>
    </row>
    <row r="45" spans="1:16" ht="15.75" customHeight="1" x14ac:dyDescent="0.2">
      <c r="A45" s="299">
        <v>266</v>
      </c>
      <c r="B45" s="269" t="s">
        <v>471</v>
      </c>
      <c r="C45" s="314"/>
      <c r="D45" s="269" t="s">
        <v>489</v>
      </c>
      <c r="E45" s="269"/>
      <c r="F45" s="380">
        <f>'Base Costs'!AX79</f>
        <v>0</v>
      </c>
      <c r="G45" s="378">
        <f t="shared" si="4"/>
        <v>0</v>
      </c>
      <c r="H45" s="381">
        <v>0.37</v>
      </c>
      <c r="I45" s="378">
        <f t="shared" si="5"/>
        <v>0</v>
      </c>
      <c r="J45" s="378">
        <f>I45*VLOOKUP($B$10,'Base Costs'!$A$32:$B$37,2,FALSE)</f>
        <v>0</v>
      </c>
      <c r="K45" s="379">
        <f t="shared" si="6"/>
        <v>0</v>
      </c>
      <c r="L45" s="469"/>
      <c r="O45" s="164"/>
      <c r="P45" s="164"/>
    </row>
    <row r="46" spans="1:16" ht="15.75" customHeight="1" x14ac:dyDescent="0.2">
      <c r="A46" s="299">
        <v>266</v>
      </c>
      <c r="B46" s="269" t="s">
        <v>471</v>
      </c>
      <c r="C46" s="314"/>
      <c r="D46" s="269" t="s">
        <v>490</v>
      </c>
      <c r="E46" s="269"/>
      <c r="F46" s="380">
        <f>'Base Costs'!AX80</f>
        <v>0</v>
      </c>
      <c r="G46" s="378">
        <f t="shared" si="4"/>
        <v>0</v>
      </c>
      <c r="H46" s="381">
        <v>0.37</v>
      </c>
      <c r="I46" s="378">
        <f t="shared" si="5"/>
        <v>0</v>
      </c>
      <c r="J46" s="378">
        <f>I46*VLOOKUP($B$10,'Base Costs'!$A$32:$B$37,2,FALSE)</f>
        <v>0</v>
      </c>
      <c r="K46" s="379">
        <f t="shared" si="6"/>
        <v>0</v>
      </c>
      <c r="L46" s="469"/>
      <c r="O46" s="164"/>
      <c r="P46" s="164"/>
    </row>
    <row r="47" spans="1:16" ht="15.75" customHeight="1" x14ac:dyDescent="0.2">
      <c r="A47" s="299">
        <v>266</v>
      </c>
      <c r="B47" s="269" t="s">
        <v>472</v>
      </c>
      <c r="C47" s="314"/>
      <c r="D47" s="269" t="s">
        <v>489</v>
      </c>
      <c r="E47" s="269"/>
      <c r="F47" s="380">
        <f>'Base Costs'!AX81</f>
        <v>0</v>
      </c>
      <c r="G47" s="378">
        <f t="shared" si="4"/>
        <v>0</v>
      </c>
      <c r="H47" s="381">
        <v>0.37</v>
      </c>
      <c r="I47" s="378">
        <f t="shared" si="5"/>
        <v>0</v>
      </c>
      <c r="J47" s="378">
        <f>I47*VLOOKUP($B$10,'Base Costs'!$A$32:$B$37,2,FALSE)</f>
        <v>0</v>
      </c>
      <c r="K47" s="379">
        <f t="shared" si="6"/>
        <v>0</v>
      </c>
      <c r="L47" s="469"/>
      <c r="O47" s="164"/>
      <c r="P47" s="164"/>
    </row>
    <row r="48" spans="1:16" ht="15.75" customHeight="1" x14ac:dyDescent="0.2">
      <c r="A48" s="299">
        <v>266</v>
      </c>
      <c r="B48" s="269" t="s">
        <v>472</v>
      </c>
      <c r="C48" s="314"/>
      <c r="D48" s="269" t="s">
        <v>490</v>
      </c>
      <c r="E48" s="269"/>
      <c r="F48" s="380">
        <f>'Base Costs'!AX82</f>
        <v>0</v>
      </c>
      <c r="G48" s="378">
        <f t="shared" si="4"/>
        <v>0</v>
      </c>
      <c r="H48" s="381">
        <v>0.37</v>
      </c>
      <c r="I48" s="378">
        <f t="shared" si="5"/>
        <v>0</v>
      </c>
      <c r="J48" s="378">
        <f>I48*VLOOKUP($B$10,'Base Costs'!$A$32:$B$37,2,FALSE)</f>
        <v>0</v>
      </c>
      <c r="K48" s="379">
        <f t="shared" si="6"/>
        <v>0</v>
      </c>
      <c r="L48" s="469"/>
      <c r="O48" s="164"/>
      <c r="P48" s="164"/>
    </row>
    <row r="49" spans="1:16" ht="15.75" customHeight="1" x14ac:dyDescent="0.2">
      <c r="A49" s="299">
        <v>266</v>
      </c>
      <c r="B49" s="269" t="s">
        <v>472</v>
      </c>
      <c r="C49" s="314"/>
      <c r="D49" s="269" t="s">
        <v>491</v>
      </c>
      <c r="E49" s="269"/>
      <c r="F49" s="380">
        <f>'Base Costs'!AX83</f>
        <v>0</v>
      </c>
      <c r="G49" s="378">
        <f t="shared" si="4"/>
        <v>0</v>
      </c>
      <c r="H49" s="381">
        <v>0.37</v>
      </c>
      <c r="I49" s="378">
        <f t="shared" si="5"/>
        <v>0</v>
      </c>
      <c r="J49" s="378">
        <f>I49*VLOOKUP($B$10,'Base Costs'!$A$32:$B$37,2,FALSE)</f>
        <v>0</v>
      </c>
      <c r="K49" s="379">
        <f t="shared" si="6"/>
        <v>0</v>
      </c>
      <c r="L49" s="469"/>
      <c r="O49" s="164"/>
      <c r="P49" s="164"/>
    </row>
    <row r="50" spans="1:16" ht="15.75" customHeight="1" x14ac:dyDescent="0.2">
      <c r="A50" s="299">
        <v>266</v>
      </c>
      <c r="B50" s="269" t="s">
        <v>472</v>
      </c>
      <c r="C50" s="314"/>
      <c r="D50" s="269" t="s">
        <v>492</v>
      </c>
      <c r="E50" s="269"/>
      <c r="F50" s="380">
        <f>'Base Costs'!AX84</f>
        <v>0</v>
      </c>
      <c r="G50" s="378">
        <f t="shared" si="4"/>
        <v>0</v>
      </c>
      <c r="H50" s="381">
        <v>0.37</v>
      </c>
      <c r="I50" s="378">
        <f t="shared" si="5"/>
        <v>0</v>
      </c>
      <c r="J50" s="378">
        <f>I50*VLOOKUP($B$10,'Base Costs'!$A$32:$B$37,2,FALSE)</f>
        <v>0</v>
      </c>
      <c r="K50" s="379">
        <f t="shared" si="6"/>
        <v>0</v>
      </c>
      <c r="L50" s="469"/>
      <c r="O50" s="164"/>
      <c r="P50" s="164"/>
    </row>
    <row r="51" spans="1:16" ht="15.75" customHeight="1" x14ac:dyDescent="0.2">
      <c r="A51" s="299">
        <v>266</v>
      </c>
      <c r="B51" s="269" t="s">
        <v>473</v>
      </c>
      <c r="C51" s="314"/>
      <c r="D51" s="269" t="s">
        <v>493</v>
      </c>
      <c r="E51" s="269"/>
      <c r="F51" s="380">
        <f>'Base Costs'!AX85</f>
        <v>90.619399999999999</v>
      </c>
      <c r="G51" s="378">
        <f t="shared" si="4"/>
        <v>0</v>
      </c>
      <c r="H51" s="381">
        <v>0.37</v>
      </c>
      <c r="I51" s="378">
        <f t="shared" si="5"/>
        <v>0</v>
      </c>
      <c r="J51" s="378">
        <f>I51*VLOOKUP($B$10,'Base Costs'!$A$32:$B$37,2,FALSE)</f>
        <v>0</v>
      </c>
      <c r="K51" s="379">
        <f t="shared" si="6"/>
        <v>0</v>
      </c>
      <c r="L51" s="469"/>
      <c r="O51" s="164"/>
      <c r="P51" s="164"/>
    </row>
    <row r="52" spans="1:16" ht="15.75" customHeight="1" x14ac:dyDescent="0.2">
      <c r="A52" s="299">
        <v>266</v>
      </c>
      <c r="B52" s="269" t="s">
        <v>474</v>
      </c>
      <c r="C52" s="314"/>
      <c r="D52" s="269" t="s">
        <v>437</v>
      </c>
      <c r="E52" s="269"/>
      <c r="F52" s="380">
        <f>'Base Costs'!AX86</f>
        <v>40.396599999999999</v>
      </c>
      <c r="G52" s="378">
        <f t="shared" si="4"/>
        <v>0</v>
      </c>
      <c r="H52" s="381">
        <v>0.37</v>
      </c>
      <c r="I52" s="378">
        <f t="shared" si="5"/>
        <v>0</v>
      </c>
      <c r="J52" s="378">
        <f>I52*VLOOKUP($B$10,'Base Costs'!$A$32:$B$37,2,FALSE)</f>
        <v>0</v>
      </c>
      <c r="K52" s="379">
        <f t="shared" si="6"/>
        <v>0</v>
      </c>
      <c r="L52" s="469"/>
      <c r="O52" s="164"/>
      <c r="P52" s="164"/>
    </row>
    <row r="53" spans="1:16" ht="15.75" customHeight="1" x14ac:dyDescent="0.2">
      <c r="A53" s="299">
        <v>266</v>
      </c>
      <c r="B53" s="269" t="s">
        <v>35</v>
      </c>
      <c r="C53" s="314"/>
      <c r="D53" s="269" t="s">
        <v>494</v>
      </c>
      <c r="E53" s="269"/>
      <c r="F53" s="380">
        <f>'Base Costs'!AX87</f>
        <v>836.34</v>
      </c>
      <c r="G53" s="378">
        <f t="shared" si="4"/>
        <v>0</v>
      </c>
      <c r="H53" s="381">
        <v>0.37</v>
      </c>
      <c r="I53" s="378">
        <f t="shared" si="5"/>
        <v>0</v>
      </c>
      <c r="J53" s="378">
        <f>I53*VLOOKUP($B$10,'Base Costs'!$A$32:$B$37,2,FALSE)</f>
        <v>0</v>
      </c>
      <c r="K53" s="379">
        <f t="shared" si="6"/>
        <v>0</v>
      </c>
      <c r="L53" s="469"/>
      <c r="O53" s="164"/>
      <c r="P53" s="164"/>
    </row>
    <row r="54" spans="1:16" ht="15.75" customHeight="1" x14ac:dyDescent="0.2">
      <c r="A54" s="299">
        <v>266</v>
      </c>
      <c r="B54" s="269" t="s">
        <v>473</v>
      </c>
      <c r="C54" s="314"/>
      <c r="D54" s="269" t="s">
        <v>495</v>
      </c>
      <c r="E54" s="269"/>
      <c r="F54" s="380">
        <f>'Base Costs'!AX88</f>
        <v>146.30120000000002</v>
      </c>
      <c r="G54" s="378">
        <f t="shared" si="4"/>
        <v>0</v>
      </c>
      <c r="H54" s="381">
        <v>0.37</v>
      </c>
      <c r="I54" s="378">
        <f t="shared" si="5"/>
        <v>0</v>
      </c>
      <c r="J54" s="378">
        <f>I54*VLOOKUP($B$10,'Base Costs'!$A$32:$B$37,2,FALSE)</f>
        <v>0</v>
      </c>
      <c r="K54" s="379">
        <f t="shared" si="6"/>
        <v>0</v>
      </c>
      <c r="L54" s="469"/>
      <c r="O54" s="164"/>
      <c r="P54" s="164"/>
    </row>
    <row r="55" spans="1:16" ht="15.75" customHeight="1" x14ac:dyDescent="0.2">
      <c r="B55" s="190"/>
      <c r="C55" s="186"/>
      <c r="D55" s="190" t="s">
        <v>437</v>
      </c>
      <c r="E55" s="190"/>
      <c r="F55" s="190"/>
      <c r="G55" s="296"/>
      <c r="H55" s="297"/>
      <c r="I55" s="296"/>
      <c r="J55" s="296"/>
      <c r="K55" s="183"/>
      <c r="L55" s="469"/>
      <c r="O55" s="164"/>
      <c r="P55" s="164"/>
    </row>
    <row r="56" spans="1:16" ht="15.75" customHeight="1" x14ac:dyDescent="0.2">
      <c r="B56" s="24" t="s">
        <v>55</v>
      </c>
      <c r="C56" s="192"/>
      <c r="D56" s="193" t="s">
        <v>437</v>
      </c>
      <c r="E56" s="193"/>
      <c r="F56" s="193"/>
      <c r="G56" s="61">
        <f>SUBTOTAL(9,G57:G68)</f>
        <v>0</v>
      </c>
      <c r="H56" s="39" t="str">
        <f>IF(G56=0,"-",K56/I56)</f>
        <v>-</v>
      </c>
      <c r="I56" s="61">
        <f t="shared" ref="I56:K56" si="7">SUBTOTAL(9,I57:I68)</f>
        <v>0</v>
      </c>
      <c r="J56" s="465">
        <f t="shared" si="7"/>
        <v>0</v>
      </c>
      <c r="K56" s="61">
        <f t="shared" si="7"/>
        <v>0</v>
      </c>
      <c r="L56" s="469"/>
      <c r="O56" s="164"/>
      <c r="P56" s="164"/>
    </row>
    <row r="57" spans="1:16" ht="15.75" customHeight="1" x14ac:dyDescent="0.2">
      <c r="A57" s="299">
        <v>269</v>
      </c>
      <c r="B57" s="269" t="s">
        <v>21</v>
      </c>
      <c r="C57" s="314"/>
      <c r="D57" s="269" t="s">
        <v>496</v>
      </c>
      <c r="E57" s="269"/>
      <c r="F57" s="380">
        <f>'Base Costs'!AX90</f>
        <v>422.53720000000004</v>
      </c>
      <c r="G57" s="378">
        <f>C57*F57</f>
        <v>0</v>
      </c>
      <c r="H57" s="381">
        <v>0.37</v>
      </c>
      <c r="I57" s="378">
        <f t="shared" ref="I57:I68" si="8">G57/(1-H57)*(1+$C$10)</f>
        <v>0</v>
      </c>
      <c r="J57" s="378">
        <f>I57*VLOOKUP($B$10,'Base Costs'!$A$32:$B$37,2,FALSE)</f>
        <v>0</v>
      </c>
      <c r="K57" s="379">
        <f t="shared" ref="K57:K68" si="9">I57-G57</f>
        <v>0</v>
      </c>
      <c r="L57" s="469"/>
      <c r="O57" s="164"/>
      <c r="P57" s="164"/>
    </row>
    <row r="58" spans="1:16" ht="15.75" customHeight="1" x14ac:dyDescent="0.2">
      <c r="A58" s="299">
        <v>269</v>
      </c>
      <c r="B58" s="269" t="s">
        <v>21</v>
      </c>
      <c r="C58" s="314"/>
      <c r="D58" s="269" t="s">
        <v>497</v>
      </c>
      <c r="E58" s="269"/>
      <c r="F58" s="380">
        <f>'Base Costs'!AX91</f>
        <v>355.43920000000003</v>
      </c>
      <c r="G58" s="378">
        <f t="shared" ref="G58:G68" si="10">C58*F58</f>
        <v>0</v>
      </c>
      <c r="H58" s="381">
        <v>0.37</v>
      </c>
      <c r="I58" s="378">
        <f t="shared" si="8"/>
        <v>0</v>
      </c>
      <c r="J58" s="378">
        <f>I58*VLOOKUP($B$10,'Base Costs'!$A$32:$B$37,2,FALSE)</f>
        <v>0</v>
      </c>
      <c r="K58" s="379">
        <f t="shared" si="9"/>
        <v>0</v>
      </c>
      <c r="L58" s="469"/>
      <c r="O58" s="164"/>
      <c r="P58" s="164"/>
    </row>
    <row r="59" spans="1:16" ht="15.75" customHeight="1" x14ac:dyDescent="0.2">
      <c r="A59" s="299">
        <v>269</v>
      </c>
      <c r="B59" s="269" t="s">
        <v>21</v>
      </c>
      <c r="C59" s="314"/>
      <c r="D59" s="269" t="s">
        <v>498</v>
      </c>
      <c r="E59" s="269"/>
      <c r="F59" s="380">
        <f>'Base Costs'!AX92</f>
        <v>344.43639999999999</v>
      </c>
      <c r="G59" s="378">
        <f t="shared" si="10"/>
        <v>0</v>
      </c>
      <c r="H59" s="381">
        <v>0.37</v>
      </c>
      <c r="I59" s="378">
        <f t="shared" si="8"/>
        <v>0</v>
      </c>
      <c r="J59" s="378">
        <f>I59*VLOOKUP($B$10,'Base Costs'!$A$32:$B$37,2,FALSE)</f>
        <v>0</v>
      </c>
      <c r="K59" s="379">
        <f t="shared" si="9"/>
        <v>0</v>
      </c>
      <c r="L59" s="469"/>
      <c r="O59" s="164"/>
      <c r="P59" s="164"/>
    </row>
    <row r="60" spans="1:16" ht="15.75" customHeight="1" x14ac:dyDescent="0.2">
      <c r="A60" s="299">
        <v>269</v>
      </c>
      <c r="B60" s="269" t="s">
        <v>21</v>
      </c>
      <c r="C60" s="314"/>
      <c r="D60" s="269" t="s">
        <v>499</v>
      </c>
      <c r="E60" s="269"/>
      <c r="F60" s="380">
        <f>'Base Costs'!AX93</f>
        <v>301.8562</v>
      </c>
      <c r="G60" s="378">
        <f t="shared" si="10"/>
        <v>0</v>
      </c>
      <c r="H60" s="381">
        <v>0.37</v>
      </c>
      <c r="I60" s="378">
        <f t="shared" si="8"/>
        <v>0</v>
      </c>
      <c r="J60" s="378">
        <f>I60*VLOOKUP($B$10,'Base Costs'!$A$32:$B$37,2,FALSE)</f>
        <v>0</v>
      </c>
      <c r="K60" s="379">
        <f t="shared" si="9"/>
        <v>0</v>
      </c>
      <c r="L60" s="469"/>
      <c r="O60" s="164"/>
      <c r="P60" s="164"/>
    </row>
    <row r="61" spans="1:16" ht="15.75" customHeight="1" x14ac:dyDescent="0.2">
      <c r="A61" s="299">
        <v>269</v>
      </c>
      <c r="B61" s="269" t="s">
        <v>20</v>
      </c>
      <c r="C61" s="314"/>
      <c r="D61" s="269" t="s">
        <v>500</v>
      </c>
      <c r="E61" s="269"/>
      <c r="F61" s="380">
        <f>'Base Costs'!AX94</f>
        <v>70.3416</v>
      </c>
      <c r="G61" s="378">
        <f t="shared" si="10"/>
        <v>0</v>
      </c>
      <c r="H61" s="381">
        <v>0.37</v>
      </c>
      <c r="I61" s="378">
        <f t="shared" si="8"/>
        <v>0</v>
      </c>
      <c r="J61" s="378">
        <f>I61*VLOOKUP($B$10,'Base Costs'!$A$32:$B$37,2,FALSE)</f>
        <v>0</v>
      </c>
      <c r="K61" s="379">
        <f t="shared" si="9"/>
        <v>0</v>
      </c>
      <c r="L61" s="469"/>
      <c r="O61" s="164"/>
      <c r="P61" s="164"/>
    </row>
    <row r="62" spans="1:16" ht="15.75" customHeight="1" x14ac:dyDescent="0.2">
      <c r="A62" s="299">
        <v>269</v>
      </c>
      <c r="B62" s="269" t="s">
        <v>20</v>
      </c>
      <c r="C62" s="314"/>
      <c r="D62" s="269" t="s">
        <v>501</v>
      </c>
      <c r="E62" s="269"/>
      <c r="F62" s="380">
        <f>'Base Costs'!AX95</f>
        <v>76.436599999999999</v>
      </c>
      <c r="G62" s="378">
        <f t="shared" si="10"/>
        <v>0</v>
      </c>
      <c r="H62" s="381">
        <v>0.37</v>
      </c>
      <c r="I62" s="378">
        <f t="shared" si="8"/>
        <v>0</v>
      </c>
      <c r="J62" s="378">
        <f>I62*VLOOKUP($B$10,'Base Costs'!$A$32:$B$37,2,FALSE)</f>
        <v>0</v>
      </c>
      <c r="K62" s="379">
        <f t="shared" si="9"/>
        <v>0</v>
      </c>
      <c r="L62" s="469"/>
      <c r="O62" s="164"/>
      <c r="P62" s="164"/>
    </row>
    <row r="63" spans="1:16" ht="15.75" customHeight="1" x14ac:dyDescent="0.2">
      <c r="A63" s="299">
        <v>269</v>
      </c>
      <c r="B63" s="269" t="s">
        <v>20</v>
      </c>
      <c r="C63" s="314"/>
      <c r="D63" s="269" t="s">
        <v>502</v>
      </c>
      <c r="E63" s="269"/>
      <c r="F63" s="380">
        <f>'Base Costs'!AX96</f>
        <v>72.525200000000012</v>
      </c>
      <c r="G63" s="378">
        <f t="shared" si="10"/>
        <v>0</v>
      </c>
      <c r="H63" s="381">
        <v>0.37</v>
      </c>
      <c r="I63" s="378">
        <f t="shared" si="8"/>
        <v>0</v>
      </c>
      <c r="J63" s="378">
        <f>I63*VLOOKUP($B$10,'Base Costs'!$A$32:$B$37,2,FALSE)</f>
        <v>0</v>
      </c>
      <c r="K63" s="379">
        <f t="shared" si="9"/>
        <v>0</v>
      </c>
      <c r="L63" s="469"/>
      <c r="O63" s="164"/>
      <c r="P63" s="164"/>
    </row>
    <row r="64" spans="1:16" ht="15.75" customHeight="1" x14ac:dyDescent="0.2">
      <c r="A64" s="299">
        <v>269</v>
      </c>
      <c r="B64" s="269" t="s">
        <v>20</v>
      </c>
      <c r="C64" s="314"/>
      <c r="D64" s="269" t="s">
        <v>503</v>
      </c>
      <c r="E64" s="269"/>
      <c r="F64" s="380">
        <f>'Base Costs'!AX97</f>
        <v>109.74180000000001</v>
      </c>
      <c r="G64" s="378">
        <f t="shared" si="10"/>
        <v>0</v>
      </c>
      <c r="H64" s="381">
        <v>0.37</v>
      </c>
      <c r="I64" s="378">
        <f t="shared" si="8"/>
        <v>0</v>
      </c>
      <c r="J64" s="378">
        <f>I64*VLOOKUP($B$10,'Base Costs'!$A$32:$B$37,2,FALSE)</f>
        <v>0</v>
      </c>
      <c r="K64" s="379">
        <f t="shared" si="9"/>
        <v>0</v>
      </c>
      <c r="L64" s="469"/>
      <c r="O64" s="164"/>
      <c r="P64" s="164"/>
    </row>
    <row r="65" spans="1:16" ht="15.75" customHeight="1" x14ac:dyDescent="0.2">
      <c r="A65" s="299">
        <v>269</v>
      </c>
      <c r="B65" s="269" t="s">
        <v>56</v>
      </c>
      <c r="C65" s="314"/>
      <c r="D65" s="269" t="s">
        <v>502</v>
      </c>
      <c r="E65" s="269"/>
      <c r="F65" s="380">
        <f>'Base Costs'!AX98</f>
        <v>80.263199999999998</v>
      </c>
      <c r="G65" s="378">
        <f t="shared" si="10"/>
        <v>0</v>
      </c>
      <c r="H65" s="381">
        <v>0.37</v>
      </c>
      <c r="I65" s="378">
        <f t="shared" si="8"/>
        <v>0</v>
      </c>
      <c r="J65" s="378">
        <f>I65*VLOOKUP($B$10,'Base Costs'!$A$32:$B$37,2,FALSE)</f>
        <v>0</v>
      </c>
      <c r="K65" s="379">
        <f t="shared" si="9"/>
        <v>0</v>
      </c>
      <c r="L65" s="469"/>
      <c r="O65" s="164"/>
      <c r="P65" s="164"/>
    </row>
    <row r="66" spans="1:16" ht="15.75" customHeight="1" x14ac:dyDescent="0.2">
      <c r="A66" s="299">
        <v>269</v>
      </c>
      <c r="B66" s="269" t="s">
        <v>56</v>
      </c>
      <c r="C66" s="314"/>
      <c r="D66" s="269" t="s">
        <v>503</v>
      </c>
      <c r="E66" s="269"/>
      <c r="F66" s="380">
        <f>'Base Costs'!AX99</f>
        <v>105.88340000000001</v>
      </c>
      <c r="G66" s="378">
        <f t="shared" si="10"/>
        <v>0</v>
      </c>
      <c r="H66" s="381">
        <v>0.37</v>
      </c>
      <c r="I66" s="378">
        <f t="shared" si="8"/>
        <v>0</v>
      </c>
      <c r="J66" s="378">
        <f>I66*VLOOKUP($B$10,'Base Costs'!$A$32:$B$37,2,FALSE)</f>
        <v>0</v>
      </c>
      <c r="K66" s="379">
        <f t="shared" si="9"/>
        <v>0</v>
      </c>
      <c r="L66" s="469"/>
      <c r="O66" s="164"/>
      <c r="P66" s="164"/>
    </row>
    <row r="67" spans="1:16" ht="15.75" customHeight="1" x14ac:dyDescent="0.2">
      <c r="A67" s="299">
        <v>269</v>
      </c>
      <c r="B67" s="269" t="s">
        <v>67</v>
      </c>
      <c r="C67" s="314"/>
      <c r="D67" s="269" t="s">
        <v>504</v>
      </c>
      <c r="E67" s="269"/>
      <c r="F67" s="380">
        <f>'Base Costs'!AX100</f>
        <v>137.5668</v>
      </c>
      <c r="G67" s="378">
        <f t="shared" si="10"/>
        <v>0</v>
      </c>
      <c r="H67" s="381">
        <v>0.37</v>
      </c>
      <c r="I67" s="378">
        <f t="shared" si="8"/>
        <v>0</v>
      </c>
      <c r="J67" s="378">
        <f>I67*VLOOKUP($B$10,'Base Costs'!$A$32:$B$37,2,FALSE)</f>
        <v>0</v>
      </c>
      <c r="K67" s="379">
        <f t="shared" si="9"/>
        <v>0</v>
      </c>
      <c r="L67" s="469"/>
      <c r="O67" s="164"/>
      <c r="P67" s="164"/>
    </row>
    <row r="68" spans="1:16" ht="15.75" customHeight="1" x14ac:dyDescent="0.2">
      <c r="A68" s="299">
        <v>269</v>
      </c>
      <c r="B68" s="269" t="s">
        <v>56</v>
      </c>
      <c r="C68" s="314"/>
      <c r="D68" s="269" t="s">
        <v>505</v>
      </c>
      <c r="E68" s="269"/>
      <c r="F68" s="380">
        <f>'Base Costs'!AX101</f>
        <v>157.2192</v>
      </c>
      <c r="G68" s="378">
        <f t="shared" si="10"/>
        <v>0</v>
      </c>
      <c r="H68" s="381">
        <v>0.37</v>
      </c>
      <c r="I68" s="378">
        <f t="shared" si="8"/>
        <v>0</v>
      </c>
      <c r="J68" s="378">
        <f>I68*VLOOKUP($B$10,'Base Costs'!$A$32:$B$37,2,FALSE)</f>
        <v>0</v>
      </c>
      <c r="K68" s="379">
        <f t="shared" si="9"/>
        <v>0</v>
      </c>
      <c r="L68" s="469"/>
      <c r="O68" s="164"/>
      <c r="P68" s="164"/>
    </row>
    <row r="69" spans="1:16" ht="15.75" customHeight="1" x14ac:dyDescent="0.2">
      <c r="C69" s="159"/>
      <c r="D69" s="165" t="s">
        <v>437</v>
      </c>
      <c r="F69" s="183"/>
      <c r="G69" s="183"/>
      <c r="H69" s="174"/>
      <c r="I69" s="183"/>
      <c r="J69" s="183"/>
      <c r="K69" s="183"/>
      <c r="O69" s="164"/>
      <c r="P69" s="164"/>
    </row>
    <row r="70" spans="1:16" ht="15.75" customHeight="1" x14ac:dyDescent="0.2">
      <c r="B70" s="24" t="s">
        <v>57</v>
      </c>
      <c r="C70" s="192"/>
      <c r="D70" s="194" t="s">
        <v>437</v>
      </c>
      <c r="E70" s="193"/>
      <c r="F70" s="298"/>
      <c r="G70" s="61">
        <f>SUBTOTAL(9,G71:G79)</f>
        <v>0</v>
      </c>
      <c r="H70" s="39" t="str">
        <f>IF(G70=0,"-",K70/I70)</f>
        <v>-</v>
      </c>
      <c r="I70" s="61">
        <f>SUBTOTAL(9,I71:I79)</f>
        <v>0</v>
      </c>
      <c r="J70" s="465">
        <f>SUBTOTAL(9,J71:J79)</f>
        <v>0</v>
      </c>
      <c r="K70" s="61">
        <f>SUBTOTAL(9,K71:K79)</f>
        <v>0</v>
      </c>
      <c r="L70" s="469"/>
      <c r="O70" s="164"/>
      <c r="P70" s="164"/>
    </row>
    <row r="71" spans="1:16" ht="15.75" customHeight="1" x14ac:dyDescent="0.2">
      <c r="A71" s="299">
        <v>269</v>
      </c>
      <c r="B71" s="269" t="s">
        <v>19</v>
      </c>
      <c r="C71" s="314"/>
      <c r="D71" s="269" t="s">
        <v>506</v>
      </c>
      <c r="E71" s="269"/>
      <c r="F71" s="380">
        <f>'Base Costs'!AX103</f>
        <v>307.01839999999999</v>
      </c>
      <c r="G71" s="378">
        <f t="shared" ref="G71:G79" si="11">C71*F71</f>
        <v>0</v>
      </c>
      <c r="H71" s="381">
        <v>0.37</v>
      </c>
      <c r="I71" s="378">
        <f t="shared" ref="I71:I79" si="12">G71/(1-H71)*(1+$C$10)</f>
        <v>0</v>
      </c>
      <c r="J71" s="378">
        <f>I71*VLOOKUP($B$10,'Base Costs'!$A$32:$B$37,2,FALSE)</f>
        <v>0</v>
      </c>
      <c r="K71" s="379">
        <f t="shared" ref="K71:K79" si="13">I71-G71</f>
        <v>0</v>
      </c>
      <c r="L71" s="469"/>
      <c r="O71" s="164"/>
      <c r="P71" s="164"/>
    </row>
    <row r="72" spans="1:16" ht="15.75" customHeight="1" x14ac:dyDescent="0.2">
      <c r="A72" s="299">
        <v>269</v>
      </c>
      <c r="B72" s="269" t="s">
        <v>19</v>
      </c>
      <c r="C72" s="314"/>
      <c r="D72" s="269" t="s">
        <v>507</v>
      </c>
      <c r="E72" s="269"/>
      <c r="F72" s="380">
        <f>'Base Costs'!AX104</f>
        <v>264.07780000000002</v>
      </c>
      <c r="G72" s="378">
        <f t="shared" si="11"/>
        <v>0</v>
      </c>
      <c r="H72" s="381">
        <v>0.37</v>
      </c>
      <c r="I72" s="378">
        <f t="shared" si="12"/>
        <v>0</v>
      </c>
      <c r="J72" s="378">
        <f>I72*VLOOKUP($B$10,'Base Costs'!$A$32:$B$37,2,FALSE)</f>
        <v>0</v>
      </c>
      <c r="K72" s="379">
        <f t="shared" si="13"/>
        <v>0</v>
      </c>
      <c r="L72" s="469"/>
      <c r="O72" s="164"/>
      <c r="P72" s="164"/>
    </row>
    <row r="73" spans="1:16" ht="15.75" customHeight="1" x14ac:dyDescent="0.2">
      <c r="A73" s="299">
        <v>269</v>
      </c>
      <c r="B73" s="269" t="s">
        <v>19</v>
      </c>
      <c r="C73" s="314"/>
      <c r="D73" s="269" t="s">
        <v>508</v>
      </c>
      <c r="E73" s="269"/>
      <c r="F73" s="380">
        <f>'Base Costs'!AX105</f>
        <v>147.50960000000001</v>
      </c>
      <c r="G73" s="378">
        <f t="shared" si="11"/>
        <v>0</v>
      </c>
      <c r="H73" s="381">
        <v>0.37</v>
      </c>
      <c r="I73" s="378">
        <f t="shared" si="12"/>
        <v>0</v>
      </c>
      <c r="J73" s="378">
        <f>I73*VLOOKUP($B$10,'Base Costs'!$A$32:$B$37,2,FALSE)</f>
        <v>0</v>
      </c>
      <c r="K73" s="379">
        <f t="shared" si="13"/>
        <v>0</v>
      </c>
      <c r="L73" s="469"/>
      <c r="O73" s="164"/>
      <c r="P73" s="164"/>
    </row>
    <row r="74" spans="1:16" ht="15.75" customHeight="1" x14ac:dyDescent="0.2">
      <c r="A74" s="299">
        <v>269</v>
      </c>
      <c r="B74" s="269" t="s">
        <v>18</v>
      </c>
      <c r="C74" s="314"/>
      <c r="D74" s="269" t="s">
        <v>509</v>
      </c>
      <c r="E74" s="269"/>
      <c r="F74" s="380">
        <f>'Base Costs'!AX106</f>
        <v>327.39160000000004</v>
      </c>
      <c r="G74" s="378">
        <f t="shared" si="11"/>
        <v>0</v>
      </c>
      <c r="H74" s="381">
        <v>0.37</v>
      </c>
      <c r="I74" s="378">
        <f t="shared" si="12"/>
        <v>0</v>
      </c>
      <c r="J74" s="378">
        <f>I74*VLOOKUP($B$10,'Base Costs'!$A$32:$B$37,2,FALSE)</f>
        <v>0</v>
      </c>
      <c r="K74" s="379">
        <f t="shared" si="13"/>
        <v>0</v>
      </c>
      <c r="L74" s="469"/>
      <c r="O74" s="164"/>
      <c r="P74" s="164"/>
    </row>
    <row r="75" spans="1:16" ht="15.75" customHeight="1" x14ac:dyDescent="0.2">
      <c r="A75" s="299">
        <v>269</v>
      </c>
      <c r="B75" s="269" t="s">
        <v>17</v>
      </c>
      <c r="C75" s="314"/>
      <c r="D75" s="269" t="s">
        <v>510</v>
      </c>
      <c r="E75" s="269"/>
      <c r="F75" s="380">
        <f>'Base Costs'!AX107</f>
        <v>77.42240000000001</v>
      </c>
      <c r="G75" s="378">
        <f t="shared" si="11"/>
        <v>0</v>
      </c>
      <c r="H75" s="381">
        <v>0.37</v>
      </c>
      <c r="I75" s="378">
        <f t="shared" si="12"/>
        <v>0</v>
      </c>
      <c r="J75" s="378">
        <f>I75*VLOOKUP($B$10,'Base Costs'!$A$32:$B$37,2,FALSE)</f>
        <v>0</v>
      </c>
      <c r="K75" s="379">
        <f t="shared" si="13"/>
        <v>0</v>
      </c>
      <c r="L75" s="469"/>
      <c r="O75" s="164"/>
      <c r="P75" s="164"/>
    </row>
    <row r="76" spans="1:16" ht="15.75" customHeight="1" x14ac:dyDescent="0.2">
      <c r="A76" s="299">
        <v>269</v>
      </c>
      <c r="B76" s="269" t="s">
        <v>17</v>
      </c>
      <c r="C76" s="314"/>
      <c r="D76" s="269" t="s">
        <v>511</v>
      </c>
      <c r="E76" s="269"/>
      <c r="F76" s="380">
        <f>'Base Costs'!AX108</f>
        <v>80.984000000000009</v>
      </c>
      <c r="G76" s="378">
        <f t="shared" si="11"/>
        <v>0</v>
      </c>
      <c r="H76" s="381">
        <v>0.37</v>
      </c>
      <c r="I76" s="378">
        <f t="shared" si="12"/>
        <v>0</v>
      </c>
      <c r="J76" s="378">
        <f>I76*VLOOKUP($B$10,'Base Costs'!$A$32:$B$37,2,FALSE)</f>
        <v>0</v>
      </c>
      <c r="K76" s="379">
        <f t="shared" si="13"/>
        <v>0</v>
      </c>
      <c r="L76" s="469"/>
      <c r="O76" s="164"/>
      <c r="P76" s="164"/>
    </row>
    <row r="77" spans="1:16" ht="15.75" customHeight="1" x14ac:dyDescent="0.2">
      <c r="A77" s="299">
        <v>269</v>
      </c>
      <c r="B77" s="269" t="s">
        <v>17</v>
      </c>
      <c r="C77" s="314"/>
      <c r="D77" s="269" t="s">
        <v>512</v>
      </c>
      <c r="E77" s="269"/>
      <c r="F77" s="380">
        <f>'Base Costs'!AX109</f>
        <v>93.650999999999996</v>
      </c>
      <c r="G77" s="378">
        <f t="shared" si="11"/>
        <v>0</v>
      </c>
      <c r="H77" s="381">
        <v>0.37</v>
      </c>
      <c r="I77" s="378">
        <f t="shared" si="12"/>
        <v>0</v>
      </c>
      <c r="J77" s="378">
        <f>I77*VLOOKUP($B$10,'Base Costs'!$A$32:$B$37,2,FALSE)</f>
        <v>0</v>
      </c>
      <c r="K77" s="379">
        <f t="shared" si="13"/>
        <v>0</v>
      </c>
      <c r="L77" s="469"/>
      <c r="O77" s="164"/>
      <c r="P77" s="164"/>
    </row>
    <row r="78" spans="1:16" ht="15.75" customHeight="1" x14ac:dyDescent="0.2">
      <c r="A78" s="299">
        <v>269</v>
      </c>
      <c r="B78" s="269" t="s">
        <v>15</v>
      </c>
      <c r="C78" s="314"/>
      <c r="D78" s="269" t="s">
        <v>513</v>
      </c>
      <c r="E78" s="269"/>
      <c r="F78" s="380">
        <f>'Base Costs'!AX110</f>
        <v>16.376999999999999</v>
      </c>
      <c r="G78" s="378">
        <f t="shared" si="11"/>
        <v>0</v>
      </c>
      <c r="H78" s="381">
        <v>0.37</v>
      </c>
      <c r="I78" s="378">
        <f t="shared" si="12"/>
        <v>0</v>
      </c>
      <c r="J78" s="378">
        <f>I78*VLOOKUP($B$10,'Base Costs'!$A$32:$B$37,2,FALSE)</f>
        <v>0</v>
      </c>
      <c r="K78" s="379">
        <f t="shared" si="13"/>
        <v>0</v>
      </c>
      <c r="L78" s="469"/>
      <c r="O78" s="164"/>
      <c r="P78" s="164"/>
    </row>
    <row r="79" spans="1:16" ht="15.75" customHeight="1" x14ac:dyDescent="0.2">
      <c r="A79" s="299">
        <v>269</v>
      </c>
      <c r="B79" s="269" t="s">
        <v>58</v>
      </c>
      <c r="C79" s="314"/>
      <c r="D79" s="269" t="s">
        <v>514</v>
      </c>
      <c r="E79" s="269"/>
      <c r="F79" s="380">
        <f>'Base Costs'!AX111</f>
        <v>93.28</v>
      </c>
      <c r="G79" s="378">
        <f t="shared" si="11"/>
        <v>0</v>
      </c>
      <c r="H79" s="381">
        <v>0.37</v>
      </c>
      <c r="I79" s="378">
        <f t="shared" si="12"/>
        <v>0</v>
      </c>
      <c r="J79" s="378">
        <f>I79*VLOOKUP($B$10,'Base Costs'!$A$32:$B$37,2,FALSE)</f>
        <v>0</v>
      </c>
      <c r="K79" s="379">
        <f t="shared" si="13"/>
        <v>0</v>
      </c>
      <c r="L79" s="469"/>
      <c r="O79" s="164"/>
      <c r="P79" s="164"/>
    </row>
    <row r="80" spans="1:16" ht="15.75" customHeight="1" x14ac:dyDescent="0.2">
      <c r="B80" s="190"/>
      <c r="C80" s="186"/>
      <c r="D80" s="190"/>
      <c r="E80" s="190"/>
      <c r="F80" s="195"/>
      <c r="G80" s="169"/>
      <c r="H80" s="196"/>
      <c r="I80" s="169"/>
      <c r="J80" s="169"/>
      <c r="L80" s="469"/>
      <c r="O80" s="164"/>
      <c r="P80" s="164"/>
    </row>
    <row r="81" spans="1:16" ht="15.75" customHeight="1" x14ac:dyDescent="0.2">
      <c r="B81" s="24" t="s">
        <v>48</v>
      </c>
      <c r="C81" s="24"/>
      <c r="D81" s="24"/>
      <c r="E81" s="24"/>
      <c r="F81" s="24"/>
      <c r="G81" s="61" t="e">
        <f>SUBTOTAL(9,G82:G88)</f>
        <v>#N/A</v>
      </c>
      <c r="H81" s="39" t="e">
        <f>IF(G81=0,"-",K81/I81)</f>
        <v>#N/A</v>
      </c>
      <c r="I81" s="61" t="e">
        <f>SUBTOTAL(9,I82:I88)</f>
        <v>#N/A</v>
      </c>
      <c r="J81" s="465" t="e">
        <f>SUBTOTAL(9,J82:J88)</f>
        <v>#N/A</v>
      </c>
      <c r="K81" s="61" t="e">
        <f>SUBTOTAL(9,K82:K88)</f>
        <v>#N/A</v>
      </c>
      <c r="L81" s="469"/>
      <c r="O81" s="164"/>
      <c r="P81" s="164"/>
    </row>
    <row r="82" spans="1:16" ht="15.75" customHeight="1" x14ac:dyDescent="0.2">
      <c r="A82" s="299">
        <v>220</v>
      </c>
      <c r="B82" s="588" t="s">
        <v>726</v>
      </c>
      <c r="C82" s="314"/>
      <c r="D82" s="269"/>
      <c r="E82" s="269"/>
      <c r="F82" s="380">
        <f>'Base Costs'!AX113</f>
        <v>116.60000000000001</v>
      </c>
      <c r="G82" s="378">
        <f t="shared" ref="G82:G88" si="14">C82*F82</f>
        <v>0</v>
      </c>
      <c r="H82" s="381">
        <v>0.37</v>
      </c>
      <c r="I82" s="378">
        <f t="shared" ref="I82:I88" si="15">G82/(1-H82)*(1+$C$10)</f>
        <v>0</v>
      </c>
      <c r="J82" s="378">
        <f>I82*VLOOKUP($B$10,'Base Costs'!$A$32:$B$37,2,FALSE)</f>
        <v>0</v>
      </c>
      <c r="K82" s="379">
        <f t="shared" ref="K82:K88" si="16">I82-G82</f>
        <v>0</v>
      </c>
      <c r="L82" s="469"/>
      <c r="O82" s="164"/>
      <c r="P82" s="164"/>
    </row>
    <row r="83" spans="1:16" ht="15.75" customHeight="1" x14ac:dyDescent="0.2">
      <c r="A83" s="299">
        <v>222</v>
      </c>
      <c r="B83" s="269" t="s">
        <v>243</v>
      </c>
      <c r="C83" s="314"/>
      <c r="D83" s="316" t="s">
        <v>362</v>
      </c>
      <c r="E83" s="270"/>
      <c r="F83" s="380" t="e">
        <f>VLOOKUP(D83,'Base Costs'!E4:G213,2,FALSE)</f>
        <v>#N/A</v>
      </c>
      <c r="G83" s="378" t="e">
        <f t="shared" si="14"/>
        <v>#N/A</v>
      </c>
      <c r="H83" s="381">
        <v>0.1</v>
      </c>
      <c r="I83" s="378" t="e">
        <f t="shared" si="15"/>
        <v>#N/A</v>
      </c>
      <c r="J83" s="378" t="e">
        <f>I83*VLOOKUP($B$10,'Base Costs'!$A$32:$B$37,2,FALSE)</f>
        <v>#N/A</v>
      </c>
      <c r="K83" s="379" t="e">
        <f t="shared" si="16"/>
        <v>#N/A</v>
      </c>
      <c r="L83" s="469"/>
      <c r="O83" s="164"/>
      <c r="P83" s="164"/>
    </row>
    <row r="84" spans="1:16" ht="15.75" customHeight="1" x14ac:dyDescent="0.2">
      <c r="A84" s="299">
        <v>265</v>
      </c>
      <c r="B84" s="269" t="s">
        <v>11</v>
      </c>
      <c r="C84" s="314"/>
      <c r="D84" s="269" t="s">
        <v>50</v>
      </c>
      <c r="E84" s="269"/>
      <c r="F84" s="380">
        <f>'Base Costs'!AX115</f>
        <v>583</v>
      </c>
      <c r="G84" s="378">
        <f t="shared" si="14"/>
        <v>0</v>
      </c>
      <c r="H84" s="381">
        <v>0.25</v>
      </c>
      <c r="I84" s="378">
        <f t="shared" si="15"/>
        <v>0</v>
      </c>
      <c r="J84" s="378">
        <f>I84*VLOOKUP($B$10,'Base Costs'!$A$32:$B$37,2,FALSE)</f>
        <v>0</v>
      </c>
      <c r="K84" s="379">
        <f t="shared" si="16"/>
        <v>0</v>
      </c>
      <c r="L84" s="469"/>
      <c r="O84" s="164"/>
      <c r="P84" s="164"/>
    </row>
    <row r="85" spans="1:16" ht="15.75" customHeight="1" x14ac:dyDescent="0.2">
      <c r="A85" s="299">
        <v>267</v>
      </c>
      <c r="B85" s="269" t="s">
        <v>11</v>
      </c>
      <c r="C85" s="314"/>
      <c r="D85" s="269" t="s">
        <v>59</v>
      </c>
      <c r="E85" s="315"/>
      <c r="F85" s="380">
        <f>'Base Costs'!AX116</f>
        <v>583</v>
      </c>
      <c r="G85" s="378">
        <f t="shared" si="14"/>
        <v>0</v>
      </c>
      <c r="H85" s="381">
        <v>0.25</v>
      </c>
      <c r="I85" s="378">
        <f t="shared" si="15"/>
        <v>0</v>
      </c>
      <c r="J85" s="378">
        <f>I85*VLOOKUP($B$10,'Base Costs'!$A$32:$B$37,2,FALSE)</f>
        <v>0</v>
      </c>
      <c r="K85" s="379">
        <f t="shared" si="16"/>
        <v>0</v>
      </c>
      <c r="L85" s="469"/>
      <c r="O85" s="164"/>
      <c r="P85" s="164"/>
    </row>
    <row r="86" spans="1:16" ht="15.75" customHeight="1" x14ac:dyDescent="0.2">
      <c r="A86" s="299">
        <v>253</v>
      </c>
      <c r="B86" s="269" t="s">
        <v>12</v>
      </c>
      <c r="C86" s="314"/>
      <c r="D86" s="269"/>
      <c r="E86" s="269"/>
      <c r="F86" s="380">
        <f>'Base Costs'!AX117</f>
        <v>0</v>
      </c>
      <c r="G86" s="378">
        <f t="shared" si="14"/>
        <v>0</v>
      </c>
      <c r="H86" s="381">
        <v>0.37</v>
      </c>
      <c r="I86" s="378">
        <f t="shared" si="15"/>
        <v>0</v>
      </c>
      <c r="J86" s="378">
        <f>I86*VLOOKUP($B$10,'Base Costs'!$A$32:$B$37,2,FALSE)</f>
        <v>0</v>
      </c>
      <c r="K86" s="379">
        <f t="shared" si="16"/>
        <v>0</v>
      </c>
      <c r="L86" s="469"/>
      <c r="O86" s="164"/>
      <c r="P86" s="164"/>
    </row>
    <row r="87" spans="1:16" ht="15.75" customHeight="1" x14ac:dyDescent="0.2">
      <c r="A87" s="299">
        <v>102</v>
      </c>
      <c r="B87" s="269" t="s">
        <v>13</v>
      </c>
      <c r="C87" s="314"/>
      <c r="D87" s="269"/>
      <c r="E87" s="269"/>
      <c r="F87" s="380">
        <f>'Base Costs'!AX118</f>
        <v>0</v>
      </c>
      <c r="G87" s="378">
        <f t="shared" si="14"/>
        <v>0</v>
      </c>
      <c r="H87" s="381">
        <v>0.37</v>
      </c>
      <c r="I87" s="378">
        <f t="shared" si="15"/>
        <v>0</v>
      </c>
      <c r="J87" s="378">
        <f>I87*VLOOKUP($B$10,'Base Costs'!$A$32:$B$37,2,FALSE)</f>
        <v>0</v>
      </c>
      <c r="K87" s="379">
        <f t="shared" si="16"/>
        <v>0</v>
      </c>
      <c r="L87" s="469"/>
      <c r="O87" s="164"/>
      <c r="P87" s="164"/>
    </row>
    <row r="88" spans="1:16" ht="15.75" customHeight="1" x14ac:dyDescent="0.2">
      <c r="A88" s="299">
        <v>280</v>
      </c>
      <c r="B88" s="269" t="s">
        <v>244</v>
      </c>
      <c r="C88" s="314"/>
      <c r="D88" s="269" t="s">
        <v>115</v>
      </c>
      <c r="E88" s="315"/>
      <c r="F88" s="380">
        <f>400*1.03</f>
        <v>412</v>
      </c>
      <c r="G88" s="378">
        <f t="shared" si="14"/>
        <v>0</v>
      </c>
      <c r="H88" s="381">
        <v>0.32885999999999999</v>
      </c>
      <c r="I88" s="378">
        <f t="shared" si="15"/>
        <v>0</v>
      </c>
      <c r="J88" s="378">
        <f>I88*VLOOKUP($B$10,'Base Costs'!$A$32:$B$37,2,FALSE)</f>
        <v>0</v>
      </c>
      <c r="K88" s="379">
        <f t="shared" si="16"/>
        <v>0</v>
      </c>
      <c r="L88" s="469"/>
      <c r="O88" s="164"/>
      <c r="P88" s="164"/>
    </row>
    <row r="89" spans="1:16" ht="15.75" customHeight="1" x14ac:dyDescent="0.2">
      <c r="B89" s="190"/>
      <c r="C89" s="186"/>
      <c r="D89" s="190"/>
      <c r="E89" s="190"/>
      <c r="F89" s="169"/>
      <c r="G89" s="169"/>
      <c r="H89" s="191"/>
      <c r="I89" s="169"/>
      <c r="J89" s="169"/>
      <c r="K89" s="183"/>
      <c r="L89" s="469"/>
      <c r="M89" s="184"/>
      <c r="N89" s="184"/>
    </row>
    <row r="90" spans="1:16" ht="15.75" customHeight="1" x14ac:dyDescent="0.2">
      <c r="B90" s="197" t="s">
        <v>121</v>
      </c>
      <c r="C90" s="198"/>
      <c r="D90" s="199"/>
      <c r="E90" s="199"/>
      <c r="F90" s="198"/>
      <c r="G90" s="200"/>
      <c r="H90" s="198"/>
      <c r="I90" s="198"/>
      <c r="J90" s="198"/>
      <c r="K90" s="198"/>
      <c r="L90" s="469"/>
      <c r="M90" s="165"/>
    </row>
    <row r="91" spans="1:16" ht="15.75" customHeight="1" x14ac:dyDescent="0.2">
      <c r="A91" s="299">
        <v>268</v>
      </c>
      <c r="B91" s="576" t="s">
        <v>605</v>
      </c>
      <c r="C91" s="577">
        <f>$J$13+$J$84+$J$87</f>
        <v>0</v>
      </c>
      <c r="D91" s="202"/>
      <c r="E91" s="204"/>
      <c r="F91" s="202"/>
      <c r="G91" s="209"/>
      <c r="H91" s="203"/>
      <c r="I91" s="203"/>
      <c r="J91" s="203"/>
      <c r="K91" s="205"/>
    </row>
    <row r="92" spans="1:16" ht="15.75" customHeight="1" x14ac:dyDescent="0.2">
      <c r="A92" s="299">
        <v>270</v>
      </c>
      <c r="B92" s="576" t="s">
        <v>606</v>
      </c>
      <c r="C92" s="577">
        <f>$J$33+$J$56+$J$70+$J$85</f>
        <v>0</v>
      </c>
      <c r="D92" s="202"/>
      <c r="E92" s="204"/>
      <c r="F92" s="202"/>
      <c r="G92" s="209"/>
      <c r="H92" s="203"/>
      <c r="I92" s="203"/>
      <c r="J92" s="203"/>
      <c r="K92" s="205"/>
    </row>
    <row r="93" spans="1:16" ht="15.75" customHeight="1" x14ac:dyDescent="0.2">
      <c r="A93" s="299">
        <v>266</v>
      </c>
      <c r="B93" s="576" t="s">
        <v>703</v>
      </c>
      <c r="C93" s="576" t="e">
        <f>J82+J83+J86</f>
        <v>#N/A</v>
      </c>
      <c r="D93" s="202"/>
      <c r="E93" s="204"/>
      <c r="F93" s="202"/>
      <c r="G93" s="209"/>
      <c r="H93" s="203"/>
      <c r="I93" s="203"/>
      <c r="J93" s="203"/>
      <c r="K93" s="209"/>
    </row>
    <row r="94" spans="1:16" ht="15.75" customHeight="1" thickBot="1" x14ac:dyDescent="0.25">
      <c r="A94" s="299">
        <v>269</v>
      </c>
      <c r="B94" s="578" t="s">
        <v>607</v>
      </c>
      <c r="C94" s="577" t="e">
        <f>C91+C92+C93</f>
        <v>#N/A</v>
      </c>
      <c r="D94" s="202"/>
      <c r="E94" s="204"/>
      <c r="F94" s="202"/>
      <c r="G94" s="209"/>
      <c r="H94" s="206"/>
      <c r="I94" s="203"/>
      <c r="J94" s="203"/>
      <c r="K94" s="209"/>
    </row>
    <row r="95" spans="1:16" ht="15.75" customHeight="1" thickBot="1" x14ac:dyDescent="0.25">
      <c r="A95" s="299">
        <v>280</v>
      </c>
      <c r="B95" s="579" t="s">
        <v>661</v>
      </c>
      <c r="C95" s="580" t="e">
        <f>C94+J88</f>
        <v>#N/A</v>
      </c>
      <c r="D95" s="202"/>
      <c r="E95" s="202"/>
      <c r="F95" s="202"/>
      <c r="G95" s="207"/>
      <c r="H95" s="209"/>
      <c r="I95" s="203"/>
      <c r="J95" s="203"/>
      <c r="K95" s="205"/>
    </row>
    <row r="96" spans="1:16" ht="15.75" customHeight="1" x14ac:dyDescent="0.2">
      <c r="B96" s="202"/>
      <c r="C96" s="202"/>
      <c r="D96" s="202"/>
      <c r="E96" s="202"/>
      <c r="F96" s="202"/>
      <c r="G96" s="207"/>
      <c r="H96" s="209"/>
      <c r="I96" s="203"/>
      <c r="J96" s="203"/>
      <c r="K96" s="205"/>
    </row>
    <row r="97" spans="2:4" ht="15.75" customHeight="1" x14ac:dyDescent="0.2">
      <c r="D97" s="208"/>
    </row>
    <row r="98" spans="2:4" ht="15.75" customHeight="1" x14ac:dyDescent="0.2">
      <c r="D98" s="201"/>
    </row>
    <row r="99" spans="2:4" ht="15.75" customHeight="1" x14ac:dyDescent="0.2">
      <c r="D99" s="208"/>
    </row>
    <row r="100" spans="2:4" ht="15.75" customHeight="1" x14ac:dyDescent="0.2">
      <c r="D100" s="208"/>
    </row>
    <row r="101" spans="2:4" ht="15.75" customHeight="1" x14ac:dyDescent="0.2">
      <c r="D101" s="201"/>
    </row>
    <row r="102" spans="2:4" ht="15.75" customHeight="1" x14ac:dyDescent="0.2">
      <c r="B102" s="172"/>
      <c r="C102" s="172"/>
      <c r="D102" s="172"/>
    </row>
    <row r="103" spans="2:4" ht="15.75" customHeight="1" x14ac:dyDescent="0.2">
      <c r="B103" s="172"/>
      <c r="C103" s="172"/>
      <c r="D103" s="172"/>
    </row>
  </sheetData>
  <protectedRanges>
    <protectedRange sqref="F14:F31 E70:F89 E32:F68" name="Pricing" securityDescriptor="O:WDG:WDD:(A;;CC;;;S-1-5-21-1993962763-879983540-839522115-1221)"/>
    <protectedRange sqref="HO1:IV2 B104:D65529 B1:J2 K2:K3 O90:IV65529 E97:K65529 B32:K32 K69 B80:K80 B89:K89 K96 N90:N96 F91:F96 B81:F81 K9 G55:K55 M38:IV89 M97:N65529 O3:IV37 M1:N17 B83:B88 B14:F31 B33:F68 B70:F79 C82:F88" name="Full" securityDescriptor="O:WDG:WDD:(A;;CC;;;S-1-5-21-1993962763-879983540-839522115-1156)"/>
    <protectedRange sqref="K11:K12" name="Estimating" securityDescriptor="O:WDG:WDD:(A;;CC;;;S-1-5-21-1993962763-879983540-839522115-1221)"/>
    <protectedRange sqref="B13:F13" name="Full_1" securityDescriptor="O:WDG:WDD:(A;;CC;;;S-1-5-21-1993962763-879983540-839522115-1156)"/>
    <protectedRange sqref="B96:C103 D97:D103" name="Full_2" securityDescriptor="O:WDG:WDD:(A;;CC;;;S-1-5-21-1993962763-879983540-839522115-1156)"/>
    <protectedRange sqref="C3:D3 C7:C8 F3:J3 B3:B7 B11:J12 J8:K8 D10 B9:J9" name="Estimating_1" securityDescriptor="O:WDG:WDD:(A;;CC;;;S-1-5-21-1993962763-879983540-839522115-1221)"/>
    <protectedRange sqref="K5:K7" name="Estimating_2" securityDescriptor="O:WDG:WDD:(A;;CC;;;S-1-5-21-1993962763-879983540-839522115-1221)"/>
    <protectedRange sqref="F4 D7:E8 F6 F8 I4:J7 E5:E6" name="Estimating_1_1" securityDescriptor="O:WDG:WDD:(A;;CC;;;S-1-5-21-1993962763-879983540-839522115-1221)"/>
    <protectedRange sqref="K14:K31 K34:K54 K57:K68 K71:K79 K82:K88" name="Estimating_5" securityDescriptor="O:WDG:WDD:(A;;CC;;;S-1-5-21-1993962763-879983540-839522115-1221)"/>
    <protectedRange sqref="L7" name="Estimating_3" securityDescriptor="O:WDG:WDD:(A;;CC;;;S-1-5-21-1993962763-879983540-839522115-1221)"/>
    <protectedRange sqref="C4:D6" name="Estimating_1_3_2" securityDescriptor="O:WDG:WDD:(A;;CC;;;S-1-5-21-1993962763-879983540-839522115-1221)"/>
    <protectedRange sqref="G5:H8" name="Estimating_4_3" securityDescriptor="O:WDG:WDD:(A;;CC;;;S-1-5-21-1993962763-879983540-839522115-1221)"/>
    <protectedRange sqref="M18:N33" name="Full_3" securityDescriptor="O:WDG:WDD:(A;;CC;;;S-1-5-21-1993962763-879983540-839522115-1156)"/>
    <protectedRange sqref="N37 N34:N35 M34" name="Full_3_1" securityDescriptor="O:WDG:WDD:(A;;CC;;;S-1-5-21-1993962763-879983540-839522115-1156)"/>
    <protectedRange sqref="B94:C94" name="Full_4" securityDescriptor="O:WDG:WDD:(A;;CC;;;S-1-5-21-1993962763-879983540-839522115-1156)"/>
    <protectedRange sqref="B91:C92" name="Full_4_1" securityDescriptor="O:WDG:WDD:(A;;CC;;;S-1-5-21-1993962763-879983540-839522115-1156)"/>
    <protectedRange sqref="B95:C95" name="Full_5" securityDescriptor="O:WDG:WDD:(A;;CC;;;S-1-5-21-1993962763-879983540-839522115-1156)"/>
  </protectedRanges>
  <mergeCells count="10">
    <mergeCell ref="C8:D8"/>
    <mergeCell ref="G8:H8"/>
    <mergeCell ref="M34:N34"/>
    <mergeCell ref="B1:D1"/>
    <mergeCell ref="C4:D4"/>
    <mergeCell ref="G4:H4"/>
    <mergeCell ref="I4:K4"/>
    <mergeCell ref="C6:D6"/>
    <mergeCell ref="G6:H6"/>
    <mergeCell ref="I6:K6"/>
  </mergeCells>
  <conditionalFormatting sqref="B10">
    <cfRule type="expression" dxfId="414" priority="32">
      <formula>B10="CURRENCY"</formula>
    </cfRule>
    <cfRule type="containsText" dxfId="413" priority="31" operator="containsText" text="SELECT">
      <formula>NOT(ISERROR(SEARCH("SELECT",B10)))</formula>
    </cfRule>
  </conditionalFormatting>
  <conditionalFormatting sqref="B14:B31">
    <cfRule type="expression" dxfId="412" priority="7">
      <formula>$C14&gt;0</formula>
    </cfRule>
  </conditionalFormatting>
  <conditionalFormatting sqref="B34:B54">
    <cfRule type="expression" dxfId="411" priority="6">
      <formula>$C34&gt;0</formula>
    </cfRule>
  </conditionalFormatting>
  <conditionalFormatting sqref="B57:B68">
    <cfRule type="expression" dxfId="410" priority="5">
      <formula>$C57&gt;0</formula>
    </cfRule>
  </conditionalFormatting>
  <conditionalFormatting sqref="B71:B79">
    <cfRule type="expression" dxfId="409" priority="4">
      <formula>$C71&gt;0</formula>
    </cfRule>
  </conditionalFormatting>
  <conditionalFormatting sqref="B82:B88">
    <cfRule type="expression" dxfId="408" priority="2">
      <formula>$C82&gt;0</formula>
    </cfRule>
  </conditionalFormatting>
  <conditionalFormatting sqref="C14:C31 C34:C54 C57:C68 C71:C79">
    <cfRule type="cellIs" dxfId="407" priority="36" operator="equal">
      <formula>0</formula>
    </cfRule>
  </conditionalFormatting>
  <conditionalFormatting sqref="C82:C88">
    <cfRule type="cellIs" dxfId="406" priority="1" operator="equal">
      <formula>0</formula>
    </cfRule>
  </conditionalFormatting>
  <conditionalFormatting sqref="C10:D10">
    <cfRule type="cellIs" dxfId="405" priority="30" operator="greaterThan">
      <formula>0</formula>
    </cfRule>
    <cfRule type="cellIs" dxfId="404" priority="29" operator="lessThan">
      <formula>0</formula>
    </cfRule>
  </conditionalFormatting>
  <conditionalFormatting sqref="F14:F31">
    <cfRule type="expression" dxfId="403" priority="28">
      <formula>C14&gt;0</formula>
    </cfRule>
  </conditionalFormatting>
  <conditionalFormatting sqref="F34:F54">
    <cfRule type="expression" dxfId="402" priority="27">
      <formula>C34&gt;0</formula>
    </cfRule>
  </conditionalFormatting>
  <conditionalFormatting sqref="F57:F68">
    <cfRule type="expression" dxfId="401" priority="26">
      <formula>C57&gt;0</formula>
    </cfRule>
  </conditionalFormatting>
  <conditionalFormatting sqref="F71:F79">
    <cfRule type="expression" dxfId="400" priority="24">
      <formula>C71&gt;0</formula>
    </cfRule>
  </conditionalFormatting>
  <conditionalFormatting sqref="F82:F88">
    <cfRule type="expression" dxfId="399" priority="25">
      <formula>C82&gt;0</formula>
    </cfRule>
  </conditionalFormatting>
  <conditionalFormatting sqref="G14:G31 J14:K31">
    <cfRule type="cellIs" dxfId="398" priority="23" operator="greaterThan">
      <formula>0</formula>
    </cfRule>
  </conditionalFormatting>
  <conditionalFormatting sqref="G34:G54 G57:G68 G71:G79 G82:G88">
    <cfRule type="cellIs" dxfId="397" priority="22" operator="greaterThan">
      <formula>0</formula>
    </cfRule>
  </conditionalFormatting>
  <conditionalFormatting sqref="H14:H31">
    <cfRule type="expression" dxfId="396" priority="42">
      <formula>$C$10&lt;0</formula>
    </cfRule>
    <cfRule type="expression" dxfId="395" priority="41">
      <formula>$C$10&gt;0</formula>
    </cfRule>
  </conditionalFormatting>
  <conditionalFormatting sqref="H34:H54">
    <cfRule type="expression" dxfId="394" priority="16">
      <formula>$C$10&lt;0</formula>
    </cfRule>
    <cfRule type="expression" dxfId="393" priority="15">
      <formula>$C$10&gt;0</formula>
    </cfRule>
  </conditionalFormatting>
  <conditionalFormatting sqref="H57:H68">
    <cfRule type="expression" dxfId="392" priority="14">
      <formula>$C$10&lt;0</formula>
    </cfRule>
    <cfRule type="expression" dxfId="391" priority="13">
      <formula>$C$10&gt;0</formula>
    </cfRule>
  </conditionalFormatting>
  <conditionalFormatting sqref="H71:H79">
    <cfRule type="expression" dxfId="390" priority="12">
      <formula>$C$10&lt;0</formula>
    </cfRule>
    <cfRule type="expression" dxfId="389" priority="11">
      <formula>$C$10&gt;0</formula>
    </cfRule>
  </conditionalFormatting>
  <conditionalFormatting sqref="H82:H88">
    <cfRule type="expression" dxfId="388" priority="10">
      <formula>$C$10&lt;0</formula>
    </cfRule>
    <cfRule type="expression" dxfId="387" priority="9">
      <formula>$C$10&gt;0</formula>
    </cfRule>
  </conditionalFormatting>
  <conditionalFormatting sqref="J1:J7 J9:J32">
    <cfRule type="expression" dxfId="386" priority="37">
      <formula>$B$10="EURO"</formula>
    </cfRule>
    <cfRule type="expression" dxfId="385" priority="38">
      <formula>$B$10="USD"</formula>
    </cfRule>
    <cfRule type="expression" dxfId="384" priority="39">
      <formula>$B$10="PLN"</formula>
    </cfRule>
    <cfRule type="expression" dxfId="383" priority="40">
      <formula>$B$10="CZK"</formula>
    </cfRule>
  </conditionalFormatting>
  <conditionalFormatting sqref="J34:J55 J57:J69 J71:J80 J82:J1048576">
    <cfRule type="expression" dxfId="382" priority="18">
      <formula>$B$10="EURO"</formula>
    </cfRule>
  </conditionalFormatting>
  <conditionalFormatting sqref="J34:J1048576">
    <cfRule type="expression" dxfId="381" priority="20">
      <formula>$B$10="PLN"</formula>
    </cfRule>
    <cfRule type="expression" dxfId="380" priority="19">
      <formula>$B$10="USD"</formula>
    </cfRule>
    <cfRule type="expression" dxfId="379" priority="21">
      <formula>$B$10="CZK"</formula>
    </cfRule>
  </conditionalFormatting>
  <conditionalFormatting sqref="J34:K54 J57:K68 J71:K79 J82:K88">
    <cfRule type="cellIs" dxfId="378" priority="17" operator="greaterThan">
      <formula>0</formula>
    </cfRule>
  </conditionalFormatting>
  <printOptions horizontalCentered="1"/>
  <pageMargins left="0.51181102362204722" right="0.35433070866141736" top="0.27559055118110237" bottom="0.15748031496062992" header="0.31496062992125984" footer="0.11811023622047245"/>
  <pageSetup paperSize="9" scale="57"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'Base Costs'!$A$32:$A$37</xm:f>
          </x14:formula1>
          <xm:sqref>B10</xm:sqref>
        </x14:dataValidation>
        <x14:dataValidation type="list" allowBlank="1" showInputMessage="1" showErrorMessage="1" xr:uid="{00000000-0002-0000-0900-000001000000}">
          <x14:formula1>
            <xm:f>'Base Costs'!$E$4:$E$213</xm:f>
          </x14:formula1>
          <xm:sqref>D83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tint="0.79998168889431442"/>
    <pageSetUpPr fitToPage="1"/>
  </sheetPr>
  <dimension ref="B1:AA86"/>
  <sheetViews>
    <sheetView zoomScale="80" zoomScaleNormal="80" workbookViewId="0">
      <selection activeCell="K1" sqref="K1"/>
    </sheetView>
  </sheetViews>
  <sheetFormatPr baseColWidth="10" defaultColWidth="9.1640625" defaultRowHeight="15" x14ac:dyDescent="0.2"/>
  <cols>
    <col min="1" max="1" width="2.1640625" style="18" customWidth="1"/>
    <col min="2" max="2" width="28.83203125" style="18" customWidth="1"/>
    <col min="3" max="3" width="10.1640625" style="285" customWidth="1"/>
    <col min="4" max="4" width="82.33203125" style="18" customWidth="1"/>
    <col min="5" max="5" width="12.6640625" style="18" customWidth="1"/>
    <col min="6" max="6" width="13.1640625" style="278" customWidth="1"/>
    <col min="7" max="7" width="13.33203125" style="275" customWidth="1"/>
    <col min="8" max="8" width="8.5" style="21" customWidth="1"/>
    <col min="9" max="9" width="11.5" style="275" hidden="1" customWidth="1"/>
    <col min="10" max="10" width="14.1640625" style="275" customWidth="1"/>
    <col min="11" max="11" width="14.5" style="275" customWidth="1"/>
    <col min="12" max="12" width="16.33203125" style="18" customWidth="1"/>
    <col min="13" max="16384" width="9.1640625" style="18"/>
  </cols>
  <sheetData>
    <row r="1" spans="2:27" s="97" customFormat="1" ht="19" x14ac:dyDescent="0.15">
      <c r="B1" s="1165" t="s">
        <v>1467</v>
      </c>
      <c r="C1" s="1165"/>
      <c r="D1" s="1165"/>
      <c r="E1" s="156"/>
      <c r="F1" s="156"/>
      <c r="G1" s="356"/>
      <c r="H1" s="256"/>
      <c r="I1" s="356"/>
      <c r="J1" s="356"/>
      <c r="K1" s="981" t="s">
        <v>1478</v>
      </c>
      <c r="P1" s="98"/>
      <c r="Q1" s="99"/>
      <c r="X1" s="100"/>
      <c r="AA1" s="101"/>
    </row>
    <row r="2" spans="2:27" s="97" customFormat="1" x14ac:dyDescent="0.15">
      <c r="C2" s="283"/>
      <c r="D2" s="257"/>
      <c r="E2" s="257"/>
      <c r="F2" s="258"/>
      <c r="G2" s="368"/>
      <c r="H2" s="148"/>
      <c r="I2" s="258"/>
      <c r="J2" s="258"/>
      <c r="K2" s="148"/>
      <c r="P2" s="105"/>
      <c r="U2" s="106"/>
      <c r="W2" s="100"/>
      <c r="Z2" s="101"/>
    </row>
    <row r="3" spans="2:27" s="97" customFormat="1" ht="16" x14ac:dyDescent="0.15">
      <c r="B3" s="259" t="s">
        <v>728</v>
      </c>
      <c r="C3" s="1166" t="str">
        <f>IF(CANOPY!C3="","",CANOPY!C3)</f>
        <v/>
      </c>
      <c r="D3" s="1166"/>
      <c r="E3" s="148" t="s">
        <v>75</v>
      </c>
      <c r="F3" s="1156" t="str">
        <f>IF(CANOPY!G3="","",CANOPY!G3)</f>
        <v/>
      </c>
      <c r="G3" s="1156"/>
      <c r="H3" s="1156"/>
      <c r="I3" s="258"/>
      <c r="J3" s="258"/>
      <c r="K3" s="148"/>
      <c r="P3" s="105"/>
      <c r="W3" s="100"/>
      <c r="Z3" s="101"/>
    </row>
    <row r="4" spans="2:27" s="97" customFormat="1" x14ac:dyDescent="0.15">
      <c r="C4" s="284"/>
      <c r="D4" s="260"/>
      <c r="E4" s="260"/>
      <c r="F4" s="258"/>
      <c r="G4" s="359"/>
      <c r="H4" s="359"/>
      <c r="I4" s="258"/>
      <c r="J4" s="258"/>
      <c r="K4" s="148"/>
      <c r="P4" s="105"/>
      <c r="W4" s="100"/>
      <c r="Z4" s="101"/>
    </row>
    <row r="5" spans="2:27" s="97" customFormat="1" ht="16" x14ac:dyDescent="0.15">
      <c r="B5" s="259" t="s">
        <v>72</v>
      </c>
      <c r="C5" s="1166" t="str">
        <f>IF(CANOPY!C5="","",CANOPY!C5)</f>
        <v/>
      </c>
      <c r="D5" s="1166"/>
      <c r="E5" s="148" t="s">
        <v>74</v>
      </c>
      <c r="F5" s="1156" t="str">
        <f>IF(CANOPY!G5="","",CANOPY!G5)</f>
        <v/>
      </c>
      <c r="G5" s="1156"/>
      <c r="H5" s="1156"/>
      <c r="I5" s="258"/>
      <c r="J5" s="258"/>
      <c r="K5" s="148"/>
      <c r="M5" s="110"/>
      <c r="N5" s="110"/>
      <c r="P5" s="105"/>
      <c r="Q5" s="106"/>
      <c r="W5" s="100"/>
      <c r="Z5" s="101"/>
    </row>
    <row r="6" spans="2:27" s="97" customFormat="1" x14ac:dyDescent="0.15">
      <c r="B6" s="259"/>
      <c r="C6" s="261"/>
      <c r="D6" s="260"/>
      <c r="E6" s="260"/>
      <c r="F6" s="148"/>
      <c r="G6" s="359"/>
      <c r="H6" s="470"/>
      <c r="I6" s="258"/>
      <c r="J6" s="258"/>
      <c r="K6" s="148"/>
      <c r="M6" s="110"/>
      <c r="N6" s="110"/>
      <c r="P6" s="105"/>
      <c r="Q6" s="106"/>
      <c r="W6" s="111"/>
      <c r="Z6" s="101"/>
    </row>
    <row r="7" spans="2:27" s="97" customFormat="1" ht="15" customHeight="1" x14ac:dyDescent="0.15">
      <c r="B7" s="80" t="s">
        <v>729</v>
      </c>
      <c r="C7" s="1166" t="str">
        <f>IF(CANOPY!C7="","",CANOPY!C7)</f>
        <v/>
      </c>
      <c r="D7" s="1166"/>
      <c r="E7" s="148" t="s">
        <v>73</v>
      </c>
      <c r="F7" s="1167" t="str">
        <f>IF(CANOPY!G7="","",CANOPY!G7)</f>
        <v/>
      </c>
      <c r="G7" s="1167"/>
      <c r="H7" s="1167"/>
      <c r="J7" s="262" t="s">
        <v>76</v>
      </c>
      <c r="K7" s="575" t="str">
        <f>IF(CANOPY!O7="","",CANOPY!O7)</f>
        <v/>
      </c>
      <c r="L7" s="1091" t="s">
        <v>1370</v>
      </c>
      <c r="M7" s="1091"/>
      <c r="N7" s="1091"/>
      <c r="P7" s="105"/>
      <c r="Q7" s="106"/>
      <c r="W7" s="111"/>
      <c r="Z7" s="101"/>
    </row>
    <row r="8" spans="2:27" s="97" customFormat="1" ht="15" customHeight="1" x14ac:dyDescent="0.15">
      <c r="B8" s="98"/>
      <c r="C8" s="284"/>
      <c r="D8" s="284"/>
      <c r="E8" s="284"/>
      <c r="F8" s="148"/>
      <c r="G8" s="303"/>
      <c r="H8" s="303"/>
      <c r="I8" s="262"/>
      <c r="J8" s="262"/>
      <c r="K8" s="262"/>
      <c r="L8" s="112"/>
      <c r="N8" s="104"/>
      <c r="P8" s="105"/>
      <c r="Q8" s="106"/>
      <c r="W8" s="111"/>
      <c r="Z8" s="101"/>
    </row>
    <row r="9" spans="2:27" s="97" customFormat="1" x14ac:dyDescent="0.15">
      <c r="C9" s="284"/>
      <c r="D9" s="260"/>
      <c r="E9" s="260"/>
      <c r="F9" s="263"/>
      <c r="G9" s="258"/>
      <c r="H9" s="148"/>
      <c r="I9" s="258"/>
      <c r="J9" s="258"/>
      <c r="K9" s="148"/>
      <c r="P9" s="105"/>
      <c r="W9" s="111"/>
      <c r="Z9" s="101"/>
    </row>
    <row r="10" spans="2:27" x14ac:dyDescent="0.2">
      <c r="B10" s="38" t="s">
        <v>348</v>
      </c>
      <c r="C10" s="953"/>
      <c r="D10" s="377">
        <f>IF(C10=0,0,(SUBTOTAL(9,I13:I155)/(1-C10))-I10)</f>
        <v>0</v>
      </c>
      <c r="G10" s="25">
        <f>SUBTOTAL(9,G14:G55)</f>
        <v>615</v>
      </c>
      <c r="H10" s="973">
        <f>IF(K10=0,"-",K10/I10)</f>
        <v>0.400348229831689</v>
      </c>
      <c r="I10" s="25">
        <f>SUBTOTAL(9,I14:I55)</f>
        <v>1025.5952380952381</v>
      </c>
      <c r="J10" s="465">
        <f>SUBTOTAL(9,J14:J55)</f>
        <v>1025.5952380952381</v>
      </c>
      <c r="K10" s="25">
        <f>SUBTOTAL(9,K14:K55)</f>
        <v>410.59523809523819</v>
      </c>
    </row>
    <row r="11" spans="2:27" ht="16" x14ac:dyDescent="0.2">
      <c r="B11" s="2" t="s">
        <v>348</v>
      </c>
      <c r="C11" s="2" t="s">
        <v>537</v>
      </c>
      <c r="D11" s="2" t="s">
        <v>536</v>
      </c>
      <c r="E11" s="2" t="s">
        <v>356</v>
      </c>
      <c r="F11" s="1" t="s">
        <v>204</v>
      </c>
      <c r="G11" s="1" t="s">
        <v>34</v>
      </c>
      <c r="H11" s="3" t="s">
        <v>141</v>
      </c>
      <c r="I11" s="4" t="s">
        <v>205</v>
      </c>
      <c r="J11" s="4" t="s">
        <v>205</v>
      </c>
      <c r="K11" s="4" t="s">
        <v>206</v>
      </c>
    </row>
    <row r="12" spans="2:27" x14ac:dyDescent="0.2">
      <c r="B12" s="261"/>
      <c r="C12" s="261"/>
      <c r="E12" s="36"/>
      <c r="F12" s="302"/>
      <c r="G12" s="94"/>
      <c r="H12" s="304"/>
      <c r="I12" s="94"/>
      <c r="J12" s="94"/>
      <c r="K12" s="94"/>
    </row>
    <row r="13" spans="2:27" ht="16" x14ac:dyDescent="0.2">
      <c r="B13" s="306" t="s">
        <v>359</v>
      </c>
      <c r="C13" s="237" t="s">
        <v>2</v>
      </c>
      <c r="D13" s="374" t="s">
        <v>214</v>
      </c>
      <c r="E13" s="305"/>
      <c r="F13" s="38"/>
      <c r="G13" s="61">
        <f>SUBTOTAL(9,G14:G41)</f>
        <v>615</v>
      </c>
      <c r="H13" s="145">
        <f>IF(G13=0,"-",K13/I13)</f>
        <v>0.400348229831689</v>
      </c>
      <c r="I13" s="61">
        <f>SUBTOTAL(9,I14:I41)</f>
        <v>1025.5952380952381</v>
      </c>
      <c r="J13" s="465">
        <f>SUBTOTAL(9,J14:J41)</f>
        <v>1025.5952380952381</v>
      </c>
      <c r="K13" s="61">
        <f>SUBTOTAL(9,K14:K41)</f>
        <v>410.59523809523819</v>
      </c>
      <c r="N13" s="319"/>
    </row>
    <row r="14" spans="2:27" ht="16" x14ac:dyDescent="0.2">
      <c r="B14" s="269" t="s">
        <v>60</v>
      </c>
      <c r="C14" s="251"/>
      <c r="D14" s="269" t="s">
        <v>1302</v>
      </c>
      <c r="E14" s="269"/>
      <c r="F14" s="380">
        <f>'Base Costs'!AM5</f>
        <v>19.027000000000001</v>
      </c>
      <c r="G14" s="378">
        <f t="shared" ref="G14:G25" si="0">C14*F14</f>
        <v>0</v>
      </c>
      <c r="H14" s="382">
        <v>0.44</v>
      </c>
      <c r="I14" s="307">
        <f>G14/(1-H14)*(1+$C$10)</f>
        <v>0</v>
      </c>
      <c r="J14" s="383">
        <f>I14*VLOOKUP($B$10,'Base Costs'!$A$32:$B$37,2,FALSE)</f>
        <v>0</v>
      </c>
      <c r="K14" s="384">
        <f>I14-G14</f>
        <v>0</v>
      </c>
    </row>
    <row r="15" spans="2:27" ht="16" x14ac:dyDescent="0.2">
      <c r="B15" s="269" t="s">
        <v>61</v>
      </c>
      <c r="C15" s="251"/>
      <c r="D15" s="269" t="s">
        <v>1299</v>
      </c>
      <c r="E15" s="269"/>
      <c r="F15" s="380">
        <f>'Base Costs'!AM6</f>
        <v>33.994199999999999</v>
      </c>
      <c r="G15" s="378">
        <f t="shared" si="0"/>
        <v>0</v>
      </c>
      <c r="H15" s="382">
        <v>0.44</v>
      </c>
      <c r="I15" s="307">
        <f t="shared" ref="I15:I41" si="1">G15/(1-H15)*(1+$C$10)</f>
        <v>0</v>
      </c>
      <c r="J15" s="383">
        <f>I15*VLOOKUP($B$10,'Base Costs'!$A$32:$B$37,2,FALSE)</f>
        <v>0</v>
      </c>
      <c r="K15" s="384">
        <f t="shared" ref="K15:K55" si="2">I15-G15</f>
        <v>0</v>
      </c>
    </row>
    <row r="16" spans="2:27" ht="16" x14ac:dyDescent="0.2">
      <c r="B16" s="269" t="s">
        <v>25</v>
      </c>
      <c r="C16" s="251"/>
      <c r="D16" s="269" t="s">
        <v>436</v>
      </c>
      <c r="E16" s="269"/>
      <c r="F16" s="380">
        <f>'Base Costs'!AM7</f>
        <v>8.9782000000000011</v>
      </c>
      <c r="G16" s="378">
        <f t="shared" si="0"/>
        <v>0</v>
      </c>
      <c r="H16" s="382">
        <v>0.44</v>
      </c>
      <c r="I16" s="307">
        <f t="shared" si="1"/>
        <v>0</v>
      </c>
      <c r="J16" s="383">
        <f>I16*VLOOKUP($B$10,'Base Costs'!$A$32:$B$37,2,FALSE)</f>
        <v>0</v>
      </c>
      <c r="K16" s="384">
        <f t="shared" si="2"/>
        <v>0</v>
      </c>
    </row>
    <row r="17" spans="2:11" ht="16" x14ac:dyDescent="0.2">
      <c r="B17" s="269"/>
      <c r="C17" s="251"/>
      <c r="D17" s="269" t="s">
        <v>437</v>
      </c>
      <c r="E17" s="269"/>
      <c r="F17" s="380"/>
      <c r="G17" s="378"/>
      <c r="H17" s="382">
        <v>0.44</v>
      </c>
      <c r="I17" s="307">
        <f t="shared" si="1"/>
        <v>0</v>
      </c>
      <c r="J17" s="383">
        <f>I17*VLOOKUP($B$10,'Base Costs'!$A$32:$B$37,2,FALSE)</f>
        <v>0</v>
      </c>
      <c r="K17" s="384"/>
    </row>
    <row r="18" spans="2:11" ht="18" customHeight="1" x14ac:dyDescent="0.2">
      <c r="B18" s="269" t="s">
        <v>361</v>
      </c>
      <c r="C18" s="251"/>
      <c r="D18" s="270" t="s">
        <v>360</v>
      </c>
      <c r="E18" s="269"/>
      <c r="F18" s="380">
        <v>83.85</v>
      </c>
      <c r="G18" s="378">
        <f t="shared" si="0"/>
        <v>0</v>
      </c>
      <c r="H18" s="382">
        <v>0.44</v>
      </c>
      <c r="I18" s="307">
        <f t="shared" si="1"/>
        <v>0</v>
      </c>
      <c r="J18" s="383">
        <f>I18*VLOOKUP($B$10,'Base Costs'!$A$32:$B$37,2,FALSE)</f>
        <v>0</v>
      </c>
      <c r="K18" s="379">
        <f t="shared" si="2"/>
        <v>0</v>
      </c>
    </row>
    <row r="19" spans="2:11" ht="16" x14ac:dyDescent="0.2">
      <c r="B19" s="269" t="s">
        <v>62</v>
      </c>
      <c r="C19" s="251"/>
      <c r="D19" s="269" t="s">
        <v>1303</v>
      </c>
      <c r="E19" s="269"/>
      <c r="F19" s="380">
        <f>'Base Costs'!AM8</f>
        <v>162.57220000000001</v>
      </c>
      <c r="G19" s="378">
        <f t="shared" si="0"/>
        <v>0</v>
      </c>
      <c r="H19" s="382">
        <v>0.44</v>
      </c>
      <c r="I19" s="307">
        <f t="shared" si="1"/>
        <v>0</v>
      </c>
      <c r="J19" s="383">
        <f>I19*VLOOKUP($B$10,'Base Costs'!$A$32:$B$37,2,FALSE)</f>
        <v>0</v>
      </c>
      <c r="K19" s="384">
        <f t="shared" si="2"/>
        <v>0</v>
      </c>
    </row>
    <row r="20" spans="2:11" ht="16" x14ac:dyDescent="0.2">
      <c r="B20" s="269" t="s">
        <v>63</v>
      </c>
      <c r="C20" s="251"/>
      <c r="D20" s="269" t="s">
        <v>1301</v>
      </c>
      <c r="E20" s="269"/>
      <c r="F20" s="380">
        <f>'Base Costs'!AM9</f>
        <v>0</v>
      </c>
      <c r="G20" s="378">
        <f t="shared" si="0"/>
        <v>0</v>
      </c>
      <c r="H20" s="382">
        <v>0.44</v>
      </c>
      <c r="I20" s="307">
        <f t="shared" si="1"/>
        <v>0</v>
      </c>
      <c r="J20" s="383">
        <f>I20*VLOOKUP($B$10,'Base Costs'!$A$32:$B$37,2,FALSE)</f>
        <v>0</v>
      </c>
      <c r="K20" s="384">
        <f t="shared" si="2"/>
        <v>0</v>
      </c>
    </row>
    <row r="21" spans="2:11" ht="16" x14ac:dyDescent="0.2">
      <c r="B21" s="269" t="s">
        <v>22</v>
      </c>
      <c r="C21" s="251"/>
      <c r="D21" s="269" t="s">
        <v>438</v>
      </c>
      <c r="E21" s="269"/>
      <c r="F21" s="380">
        <f>'Base Costs'!AM10</f>
        <v>45.283200000000001</v>
      </c>
      <c r="G21" s="378">
        <f t="shared" si="0"/>
        <v>0</v>
      </c>
      <c r="H21" s="382">
        <v>0.44</v>
      </c>
      <c r="I21" s="307">
        <f t="shared" si="1"/>
        <v>0</v>
      </c>
      <c r="J21" s="383">
        <f>I21*VLOOKUP($B$10,'Base Costs'!$A$32:$B$37,2,FALSE)</f>
        <v>0</v>
      </c>
      <c r="K21" s="384">
        <f t="shared" si="2"/>
        <v>0</v>
      </c>
    </row>
    <row r="22" spans="2:11" ht="16" x14ac:dyDescent="0.2">
      <c r="B22" s="269" t="s">
        <v>26</v>
      </c>
      <c r="C22" s="251"/>
      <c r="D22" s="269" t="s">
        <v>439</v>
      </c>
      <c r="E22" s="269"/>
      <c r="F22" s="380">
        <f>'Base Costs'!AM11</f>
        <v>44.710799999999999</v>
      </c>
      <c r="G22" s="378">
        <f t="shared" si="0"/>
        <v>0</v>
      </c>
      <c r="H22" s="382">
        <v>0.44</v>
      </c>
      <c r="I22" s="307">
        <f t="shared" si="1"/>
        <v>0</v>
      </c>
      <c r="J22" s="383">
        <f>I22*VLOOKUP($B$10,'Base Costs'!$A$32:$B$37,2,FALSE)</f>
        <v>0</v>
      </c>
      <c r="K22" s="384">
        <f t="shared" si="2"/>
        <v>0</v>
      </c>
    </row>
    <row r="23" spans="2:11" ht="16" x14ac:dyDescent="0.2">
      <c r="B23" s="269" t="s">
        <v>23</v>
      </c>
      <c r="C23" s="251"/>
      <c r="D23" s="269" t="s">
        <v>440</v>
      </c>
      <c r="E23" s="269"/>
      <c r="F23" s="380">
        <f>'Base Costs'!AM12</f>
        <v>17.744399999999999</v>
      </c>
      <c r="G23" s="378">
        <f t="shared" si="0"/>
        <v>0</v>
      </c>
      <c r="H23" s="382">
        <v>0.44</v>
      </c>
      <c r="I23" s="307">
        <f t="shared" si="1"/>
        <v>0</v>
      </c>
      <c r="J23" s="383">
        <f>I23*VLOOKUP($B$10,'Base Costs'!$A$32:$B$37,2,FALSE)</f>
        <v>0</v>
      </c>
      <c r="K23" s="384">
        <f t="shared" si="2"/>
        <v>0</v>
      </c>
    </row>
    <row r="24" spans="2:11" ht="16" x14ac:dyDescent="0.2">
      <c r="B24" s="269" t="s">
        <v>998</v>
      </c>
      <c r="C24" s="251"/>
      <c r="D24" s="269" t="s">
        <v>995</v>
      </c>
      <c r="E24" s="269"/>
      <c r="F24" s="380">
        <f>'Base Costs'!AM13</f>
        <v>198.22</v>
      </c>
      <c r="G24" s="378">
        <f t="shared" si="0"/>
        <v>0</v>
      </c>
      <c r="H24" s="382">
        <v>0.44</v>
      </c>
      <c r="I24" s="307">
        <f t="shared" si="1"/>
        <v>0</v>
      </c>
      <c r="J24" s="383">
        <f>I24*VLOOKUP($B$10,'Base Costs'!$A$32:$B$37,2,FALSE)</f>
        <v>0</v>
      </c>
      <c r="K24" s="384">
        <f t="shared" si="2"/>
        <v>0</v>
      </c>
    </row>
    <row r="25" spans="2:11" ht="16" x14ac:dyDescent="0.2">
      <c r="B25" s="269" t="s">
        <v>999</v>
      </c>
      <c r="C25" s="251"/>
      <c r="D25" s="269" t="s">
        <v>997</v>
      </c>
      <c r="E25" s="269"/>
      <c r="F25" s="380">
        <f>'Base Costs'!AM14</f>
        <v>267.12</v>
      </c>
      <c r="G25" s="378">
        <f t="shared" si="0"/>
        <v>0</v>
      </c>
      <c r="H25" s="382">
        <v>0.44</v>
      </c>
      <c r="I25" s="307">
        <f t="shared" si="1"/>
        <v>0</v>
      </c>
      <c r="J25" s="383">
        <f>I25*VLOOKUP($B$10,'Base Costs'!$A$32:$B$37,2,FALSE)</f>
        <v>0</v>
      </c>
      <c r="K25" s="384">
        <f t="shared" si="2"/>
        <v>0</v>
      </c>
    </row>
    <row r="26" spans="2:11" ht="16" x14ac:dyDescent="0.2">
      <c r="B26" s="269" t="s">
        <v>717</v>
      </c>
      <c r="C26" s="251"/>
      <c r="D26" s="269" t="s">
        <v>120</v>
      </c>
      <c r="E26" s="269"/>
      <c r="F26" s="380">
        <f>135*1.03</f>
        <v>139.05000000000001</v>
      </c>
      <c r="G26" s="378">
        <f t="shared" ref="G26:G41" si="3">C26*F26</f>
        <v>0</v>
      </c>
      <c r="H26" s="382">
        <v>0.44</v>
      </c>
      <c r="I26" s="307">
        <f t="shared" si="1"/>
        <v>0</v>
      </c>
      <c r="J26" s="383">
        <f>I26*VLOOKUP($B$10,'Base Costs'!$A$32:$B$37,2,FALSE)</f>
        <v>0</v>
      </c>
      <c r="K26" s="384">
        <f t="shared" si="2"/>
        <v>0</v>
      </c>
    </row>
    <row r="27" spans="2:11" ht="16" x14ac:dyDescent="0.2">
      <c r="B27" s="269" t="s">
        <v>64</v>
      </c>
      <c r="C27" s="251"/>
      <c r="D27" s="269" t="s">
        <v>441</v>
      </c>
      <c r="E27" s="269"/>
      <c r="F27" s="380">
        <f>'Base Costs'!AM16</f>
        <v>5.4484000000000004</v>
      </c>
      <c r="G27" s="378">
        <f t="shared" si="3"/>
        <v>0</v>
      </c>
      <c r="H27" s="382">
        <v>0.44</v>
      </c>
      <c r="I27" s="307">
        <f t="shared" si="1"/>
        <v>0</v>
      </c>
      <c r="J27" s="383">
        <f>I27*VLOOKUP($B$10,'Base Costs'!$A$32:$B$37,2,FALSE)</f>
        <v>0</v>
      </c>
      <c r="K27" s="384">
        <f t="shared" si="2"/>
        <v>0</v>
      </c>
    </row>
    <row r="28" spans="2:11" ht="16" x14ac:dyDescent="0.2">
      <c r="B28" s="269" t="s">
        <v>64</v>
      </c>
      <c r="C28" s="251"/>
      <c r="D28" s="269" t="s">
        <v>442</v>
      </c>
      <c r="E28" s="269"/>
      <c r="F28" s="380">
        <f>'Base Costs'!AM18</f>
        <v>27.220800000000001</v>
      </c>
      <c r="G28" s="378">
        <f t="shared" si="3"/>
        <v>0</v>
      </c>
      <c r="H28" s="382">
        <v>0.44</v>
      </c>
      <c r="I28" s="307">
        <f t="shared" si="1"/>
        <v>0</v>
      </c>
      <c r="J28" s="383">
        <f>I28*VLOOKUP($B$10,'Base Costs'!$A$32:$B$37,2,FALSE)</f>
        <v>0</v>
      </c>
      <c r="K28" s="384">
        <f t="shared" si="2"/>
        <v>0</v>
      </c>
    </row>
    <row r="29" spans="2:11" ht="16" x14ac:dyDescent="0.2">
      <c r="B29" s="269"/>
      <c r="C29" s="251"/>
      <c r="D29" s="269" t="s">
        <v>443</v>
      </c>
      <c r="E29" s="269"/>
      <c r="F29" s="380">
        <f>'Base Costs'!AM19</f>
        <v>0</v>
      </c>
      <c r="G29" s="378">
        <f t="shared" si="3"/>
        <v>0</v>
      </c>
      <c r="H29" s="382">
        <v>0.44</v>
      </c>
      <c r="I29" s="307">
        <f t="shared" si="1"/>
        <v>0</v>
      </c>
      <c r="J29" s="383">
        <f>I29*VLOOKUP($B$10,'Base Costs'!$A$32:$B$37,2,FALSE)</f>
        <v>0</v>
      </c>
      <c r="K29" s="384">
        <f t="shared" si="2"/>
        <v>0</v>
      </c>
    </row>
    <row r="30" spans="2:11" ht="16" x14ac:dyDescent="0.2">
      <c r="B30" s="269" t="s">
        <v>664</v>
      </c>
      <c r="C30" s="251"/>
      <c r="D30" s="269" t="s">
        <v>513</v>
      </c>
      <c r="E30" s="269"/>
      <c r="F30" s="380">
        <f>'Base Costs'!AM20</f>
        <v>262.03199999999998</v>
      </c>
      <c r="G30" s="378">
        <f t="shared" si="3"/>
        <v>0</v>
      </c>
      <c r="H30" s="382">
        <v>0.44</v>
      </c>
      <c r="I30" s="307">
        <f t="shared" si="1"/>
        <v>0</v>
      </c>
      <c r="J30" s="383">
        <f>I30*VLOOKUP($B$10,'Base Costs'!$A$32:$B$37,2,FALSE)</f>
        <v>0</v>
      </c>
      <c r="K30" s="384">
        <f t="shared" si="2"/>
        <v>0</v>
      </c>
    </row>
    <row r="31" spans="2:11" ht="16" x14ac:dyDescent="0.2">
      <c r="B31" s="269"/>
      <c r="C31" s="251"/>
      <c r="D31" s="280" t="s">
        <v>444</v>
      </c>
      <c r="E31" s="280"/>
      <c r="F31" s="380">
        <f>'Base Costs'!AM21</f>
        <v>0</v>
      </c>
      <c r="G31" s="378">
        <f t="shared" si="3"/>
        <v>0</v>
      </c>
      <c r="H31" s="382">
        <v>0.44</v>
      </c>
      <c r="I31" s="307">
        <f t="shared" si="1"/>
        <v>0</v>
      </c>
      <c r="J31" s="383">
        <f>I31*VLOOKUP($B$10,'Base Costs'!$A$32:$B$37,2,FALSE)</f>
        <v>0</v>
      </c>
      <c r="K31" s="384">
        <f t="shared" si="2"/>
        <v>0</v>
      </c>
    </row>
    <row r="32" spans="2:11" ht="16" x14ac:dyDescent="0.2">
      <c r="B32" s="269" t="s">
        <v>29</v>
      </c>
      <c r="C32" s="251"/>
      <c r="D32" s="269" t="s">
        <v>437</v>
      </c>
      <c r="E32" s="269"/>
      <c r="F32" s="380">
        <v>0</v>
      </c>
      <c r="G32" s="378">
        <f t="shared" si="3"/>
        <v>0</v>
      </c>
      <c r="H32" s="382">
        <v>0.44</v>
      </c>
      <c r="I32" s="307">
        <f t="shared" si="1"/>
        <v>0</v>
      </c>
      <c r="J32" s="383">
        <f>I32*VLOOKUP($B$10,'Base Costs'!$A$32:$B$37,2,FALSE)</f>
        <v>0</v>
      </c>
      <c r="K32" s="384">
        <f t="shared" si="2"/>
        <v>0</v>
      </c>
    </row>
    <row r="33" spans="2:14" ht="16" x14ac:dyDescent="0.2">
      <c r="B33" s="269" t="s">
        <v>28</v>
      </c>
      <c r="C33" s="251"/>
      <c r="D33" s="269" t="s">
        <v>437</v>
      </c>
      <c r="E33" s="269"/>
      <c r="F33" s="380">
        <v>0</v>
      </c>
      <c r="G33" s="378">
        <f t="shared" si="3"/>
        <v>0</v>
      </c>
      <c r="H33" s="382">
        <v>0.44</v>
      </c>
      <c r="I33" s="307">
        <f t="shared" si="1"/>
        <v>0</v>
      </c>
      <c r="J33" s="383">
        <f>I33*VLOOKUP($B$10,'Base Costs'!$A$32:$B$37,2,FALSE)</f>
        <v>0</v>
      </c>
      <c r="K33" s="384">
        <f t="shared" si="2"/>
        <v>0</v>
      </c>
    </row>
    <row r="34" spans="2:14" ht="16" x14ac:dyDescent="0.2">
      <c r="B34" s="269" t="s">
        <v>15</v>
      </c>
      <c r="C34" s="251"/>
      <c r="D34" s="269" t="s">
        <v>437</v>
      </c>
      <c r="E34" s="269"/>
      <c r="F34" s="380">
        <v>0</v>
      </c>
      <c r="G34" s="378">
        <f t="shared" si="3"/>
        <v>0</v>
      </c>
      <c r="H34" s="382">
        <v>0.44</v>
      </c>
      <c r="I34" s="307">
        <f t="shared" si="1"/>
        <v>0</v>
      </c>
      <c r="J34" s="383">
        <f>I34*VLOOKUP($B$10,'Base Costs'!$A$32:$B$37,2,FALSE)</f>
        <v>0</v>
      </c>
      <c r="K34" s="384">
        <f t="shared" si="2"/>
        <v>0</v>
      </c>
    </row>
    <row r="35" spans="2:14" ht="16" x14ac:dyDescent="0.2">
      <c r="B35" s="269"/>
      <c r="C35" s="251"/>
      <c r="D35" s="282" t="s">
        <v>445</v>
      </c>
      <c r="E35" s="282"/>
      <c r="F35" s="380">
        <f>'Base Costs'!AM22</f>
        <v>0</v>
      </c>
      <c r="G35" s="378">
        <f t="shared" si="3"/>
        <v>0</v>
      </c>
      <c r="H35" s="382">
        <v>0.44</v>
      </c>
      <c r="I35" s="307">
        <f t="shared" si="1"/>
        <v>0</v>
      </c>
      <c r="J35" s="383">
        <f>I35*VLOOKUP($B$10,'Base Costs'!$A$32:$B$37,2,FALSE)</f>
        <v>0</v>
      </c>
      <c r="K35" s="384">
        <f t="shared" si="2"/>
        <v>0</v>
      </c>
    </row>
    <row r="36" spans="2:14" ht="16" x14ac:dyDescent="0.2">
      <c r="B36" s="269" t="s">
        <v>65</v>
      </c>
      <c r="C36" s="251"/>
      <c r="D36" s="269" t="s">
        <v>446</v>
      </c>
      <c r="E36" s="269"/>
      <c r="F36" s="380">
        <f>'Base Costs'!AM23</f>
        <v>0</v>
      </c>
      <c r="G36" s="378">
        <f t="shared" si="3"/>
        <v>0</v>
      </c>
      <c r="H36" s="382">
        <v>0.44</v>
      </c>
      <c r="I36" s="307">
        <f t="shared" si="1"/>
        <v>0</v>
      </c>
      <c r="J36" s="383">
        <f>I36*VLOOKUP($B$10,'Base Costs'!$A$32:$B$37,2,FALSE)</f>
        <v>0</v>
      </c>
      <c r="K36" s="384">
        <f t="shared" si="2"/>
        <v>0</v>
      </c>
    </row>
    <row r="37" spans="2:14" ht="16" x14ac:dyDescent="0.2">
      <c r="B37" s="984" t="s">
        <v>1313</v>
      </c>
      <c r="C37" s="1008">
        <v>1</v>
      </c>
      <c r="D37" s="1009" t="s">
        <v>1312</v>
      </c>
      <c r="E37" s="984"/>
      <c r="F37" s="1001">
        <v>5</v>
      </c>
      <c r="G37" s="1002">
        <f t="shared" si="3"/>
        <v>5</v>
      </c>
      <c r="H37" s="1010">
        <v>0.44</v>
      </c>
      <c r="I37" s="1011">
        <f t="shared" si="1"/>
        <v>8.928571428571427</v>
      </c>
      <c r="J37" s="1012">
        <f>I37*VLOOKUP($B$10,'Base Costs'!$A$32:$B$37,2,FALSE)</f>
        <v>8.928571428571427</v>
      </c>
      <c r="K37" s="1013">
        <f t="shared" si="2"/>
        <v>3.928571428571427</v>
      </c>
      <c r="L37" s="1014" t="s">
        <v>1416</v>
      </c>
      <c r="M37" s="1014"/>
    </row>
    <row r="38" spans="2:14" ht="16" x14ac:dyDescent="0.2">
      <c r="B38" s="269"/>
      <c r="C38" s="251"/>
      <c r="D38" s="269" t="s">
        <v>447</v>
      </c>
      <c r="E38" s="269"/>
      <c r="F38" s="380">
        <f>'Base Costs'!AM25</f>
        <v>0</v>
      </c>
      <c r="G38" s="378">
        <f t="shared" si="3"/>
        <v>0</v>
      </c>
      <c r="H38" s="382">
        <v>0.44</v>
      </c>
      <c r="I38" s="307">
        <f t="shared" si="1"/>
        <v>0</v>
      </c>
      <c r="J38" s="383">
        <f>I38*VLOOKUP($B$10,'Base Costs'!$A$32:$B$37,2,FALSE)</f>
        <v>0</v>
      </c>
      <c r="K38" s="384">
        <f t="shared" si="2"/>
        <v>0</v>
      </c>
    </row>
    <row r="39" spans="2:14" ht="16" x14ac:dyDescent="0.2">
      <c r="B39" s="269" t="s">
        <v>449</v>
      </c>
      <c r="C39" s="251"/>
      <c r="D39" s="269" t="s">
        <v>448</v>
      </c>
      <c r="E39" s="269"/>
      <c r="F39" s="380">
        <f>175*1.03</f>
        <v>180.25</v>
      </c>
      <c r="G39" s="378">
        <f t="shared" si="3"/>
        <v>0</v>
      </c>
      <c r="H39" s="382">
        <v>0.44</v>
      </c>
      <c r="I39" s="307">
        <f t="shared" si="1"/>
        <v>0</v>
      </c>
      <c r="J39" s="383">
        <f>I39*VLOOKUP($B$10,'Base Costs'!$A$32:$B$37,2,FALSE)</f>
        <v>0</v>
      </c>
      <c r="K39" s="384">
        <f t="shared" si="2"/>
        <v>0</v>
      </c>
    </row>
    <row r="40" spans="2:14" ht="16" x14ac:dyDescent="0.2">
      <c r="B40" s="269" t="s">
        <v>450</v>
      </c>
      <c r="C40" s="251"/>
      <c r="D40" s="269" t="s">
        <v>448</v>
      </c>
      <c r="E40" s="269"/>
      <c r="F40" s="380">
        <f>175*1.03</f>
        <v>180.25</v>
      </c>
      <c r="G40" s="378">
        <f t="shared" si="3"/>
        <v>0</v>
      </c>
      <c r="H40" s="382">
        <v>0.44</v>
      </c>
      <c r="I40" s="307">
        <f t="shared" si="1"/>
        <v>0</v>
      </c>
      <c r="J40" s="383">
        <f>I40*VLOOKUP($B$10,'Base Costs'!$A$32:$B$37,2,FALSE)</f>
        <v>0</v>
      </c>
      <c r="K40" s="384">
        <f t="shared" si="2"/>
        <v>0</v>
      </c>
    </row>
    <row r="41" spans="2:14" ht="16" x14ac:dyDescent="0.2">
      <c r="B41" s="926" t="s">
        <v>1411</v>
      </c>
      <c r="C41" s="251">
        <v>1</v>
      </c>
      <c r="D41" s="281" t="s">
        <v>1410</v>
      </c>
      <c r="E41" s="281"/>
      <c r="F41" s="380">
        <v>610</v>
      </c>
      <c r="G41" s="378">
        <f t="shared" si="3"/>
        <v>610</v>
      </c>
      <c r="H41" s="382">
        <v>0.4</v>
      </c>
      <c r="I41" s="307">
        <f t="shared" si="1"/>
        <v>1016.6666666666667</v>
      </c>
      <c r="J41" s="383">
        <f>I41*VLOOKUP($B$10,'Base Costs'!$A$32:$B$37,2,FALSE)</f>
        <v>1016.6666666666667</v>
      </c>
      <c r="K41" s="384">
        <f t="shared" si="2"/>
        <v>406.66666666666674</v>
      </c>
    </row>
    <row r="42" spans="2:14" x14ac:dyDescent="0.2">
      <c r="B42" s="264"/>
      <c r="C42" s="17"/>
      <c r="F42" s="265"/>
      <c r="G42" s="265"/>
      <c r="H42" s="266"/>
      <c r="I42" s="369"/>
      <c r="J42" s="369"/>
      <c r="K42" s="370"/>
    </row>
    <row r="43" spans="2:14" ht="16" x14ac:dyDescent="0.2">
      <c r="B43" s="85" t="s">
        <v>48</v>
      </c>
      <c r="C43" s="85"/>
      <c r="D43" s="86"/>
      <c r="E43" s="86"/>
      <c r="F43" s="86"/>
      <c r="G43" s="154">
        <f>SUBTOTAL(9,G46:G55)</f>
        <v>0</v>
      </c>
      <c r="H43" s="15" t="str">
        <f>IF(G43=0,"-",K43/I43)</f>
        <v>-</v>
      </c>
      <c r="I43" s="154">
        <f>SUBTOTAL(9,I46:I55)</f>
        <v>0</v>
      </c>
      <c r="J43" s="465">
        <f>SUBTOTAL(9,J44:J55)</f>
        <v>0</v>
      </c>
      <c r="K43" s="154">
        <f>SUBTOTAL(9,K46:K55)</f>
        <v>0</v>
      </c>
      <c r="L43" s="267"/>
      <c r="M43" s="268"/>
      <c r="N43" s="268"/>
    </row>
    <row r="44" spans="2:14" ht="16.5" customHeight="1" x14ac:dyDescent="0.2">
      <c r="B44" s="588" t="s">
        <v>726</v>
      </c>
      <c r="C44" s="286"/>
      <c r="D44" s="289" t="s">
        <v>45</v>
      </c>
      <c r="E44" s="271"/>
      <c r="F44" s="380">
        <f>VLOOKUP(D44,'Base Costs'!E4:G213,2,FALSE)</f>
        <v>0</v>
      </c>
      <c r="G44" s="378">
        <f>C44*F44</f>
        <v>0</v>
      </c>
      <c r="H44" s="382">
        <v>0.33</v>
      </c>
      <c r="I44" s="307">
        <f t="shared" ref="I44:I55" si="4">G44/(1-H44)*(1+$C$10)</f>
        <v>0</v>
      </c>
      <c r="J44" s="383">
        <f>I44*VLOOKUP($B$10,'Base Costs'!$A$32:$B$37,2,FALSE)</f>
        <v>0</v>
      </c>
      <c r="K44" s="384">
        <f t="shared" ref="K44" si="5">I44-G44</f>
        <v>0</v>
      </c>
    </row>
    <row r="45" spans="2:14" ht="16" x14ac:dyDescent="0.2">
      <c r="B45" s="269" t="s">
        <v>36</v>
      </c>
      <c r="C45" s="286"/>
      <c r="D45" s="288" t="s">
        <v>184</v>
      </c>
      <c r="E45" s="270"/>
      <c r="F45" s="380">
        <f>VLOOKUP(D45,'Base Costs'!A4:B16,2,FALSE)</f>
        <v>0</v>
      </c>
      <c r="G45" s="378">
        <f>C45*F45</f>
        <v>0</v>
      </c>
      <c r="H45" s="382">
        <v>0.33</v>
      </c>
      <c r="I45" s="307">
        <f t="shared" si="4"/>
        <v>0</v>
      </c>
      <c r="J45" s="383">
        <f>I45*VLOOKUP($B$10,'Base Costs'!$A$32:$B$37,2,FALSE)</f>
        <v>0</v>
      </c>
      <c r="K45" s="384">
        <f>I45-G45</f>
        <v>0</v>
      </c>
    </row>
    <row r="46" spans="2:14" ht="16" x14ac:dyDescent="0.2">
      <c r="B46" s="269" t="s">
        <v>215</v>
      </c>
      <c r="C46" s="286"/>
      <c r="D46" s="269" t="s">
        <v>222</v>
      </c>
      <c r="E46" s="269"/>
      <c r="F46" s="380">
        <f>250*1.03</f>
        <v>257.5</v>
      </c>
      <c r="G46" s="378">
        <f t="shared" ref="G46:G55" si="6">C46*F46</f>
        <v>0</v>
      </c>
      <c r="H46" s="382">
        <v>0.4</v>
      </c>
      <c r="I46" s="307">
        <f t="shared" si="4"/>
        <v>0</v>
      </c>
      <c r="J46" s="383">
        <f>I46*VLOOKUP($B$10,'Base Costs'!$A$32:$B$37,2,FALSE)</f>
        <v>0</v>
      </c>
      <c r="K46" s="384">
        <f t="shared" si="2"/>
        <v>0</v>
      </c>
    </row>
    <row r="47" spans="2:14" ht="16" x14ac:dyDescent="0.2">
      <c r="B47" s="269" t="s">
        <v>216</v>
      </c>
      <c r="C47" s="286"/>
      <c r="D47" s="269" t="s">
        <v>223</v>
      </c>
      <c r="E47" s="269"/>
      <c r="F47" s="380">
        <f>300*1.03</f>
        <v>309</v>
      </c>
      <c r="G47" s="378">
        <f t="shared" si="6"/>
        <v>0</v>
      </c>
      <c r="H47" s="382">
        <v>0.4</v>
      </c>
      <c r="I47" s="307">
        <f t="shared" si="4"/>
        <v>0</v>
      </c>
      <c r="J47" s="383">
        <f>I47*VLOOKUP($B$10,'Base Costs'!$A$32:$B$37,2,FALSE)</f>
        <v>0</v>
      </c>
      <c r="K47" s="384">
        <f t="shared" si="2"/>
        <v>0</v>
      </c>
    </row>
    <row r="48" spans="2:14" ht="16" x14ac:dyDescent="0.2">
      <c r="B48" s="269" t="s">
        <v>217</v>
      </c>
      <c r="C48" s="286"/>
      <c r="D48" s="269" t="s">
        <v>224</v>
      </c>
      <c r="E48" s="269"/>
      <c r="F48" s="380">
        <f>4.5*1.03</f>
        <v>4.6349999999999998</v>
      </c>
      <c r="G48" s="378">
        <f t="shared" si="6"/>
        <v>0</v>
      </c>
      <c r="H48" s="382">
        <v>0.4</v>
      </c>
      <c r="I48" s="307">
        <f t="shared" si="4"/>
        <v>0</v>
      </c>
      <c r="J48" s="383">
        <f>I48*VLOOKUP($B$10,'Base Costs'!$A$32:$B$37,2,FALSE)</f>
        <v>0</v>
      </c>
      <c r="K48" s="384">
        <f t="shared" si="2"/>
        <v>0</v>
      </c>
    </row>
    <row r="49" spans="2:11" ht="16" x14ac:dyDescent="0.2">
      <c r="B49" s="269" t="s">
        <v>218</v>
      </c>
      <c r="C49" s="286"/>
      <c r="D49" s="269" t="s">
        <v>225</v>
      </c>
      <c r="E49" s="269"/>
      <c r="F49" s="380">
        <f>300*1.03</f>
        <v>309</v>
      </c>
      <c r="G49" s="378">
        <f t="shared" si="6"/>
        <v>0</v>
      </c>
      <c r="H49" s="382">
        <v>0.4</v>
      </c>
      <c r="I49" s="307">
        <f t="shared" si="4"/>
        <v>0</v>
      </c>
      <c r="J49" s="383">
        <f>I49*VLOOKUP($B$10,'Base Costs'!$A$32:$B$37,2,FALSE)</f>
        <v>0</v>
      </c>
      <c r="K49" s="384">
        <f t="shared" si="2"/>
        <v>0</v>
      </c>
    </row>
    <row r="50" spans="2:11" ht="16" x14ac:dyDescent="0.2">
      <c r="B50" s="269" t="s">
        <v>219</v>
      </c>
      <c r="C50" s="286"/>
      <c r="D50" s="269" t="s">
        <v>226</v>
      </c>
      <c r="E50" s="269"/>
      <c r="F50" s="380">
        <f>300*1.03</f>
        <v>309</v>
      </c>
      <c r="G50" s="378">
        <f t="shared" si="6"/>
        <v>0</v>
      </c>
      <c r="H50" s="382">
        <v>0.4</v>
      </c>
      <c r="I50" s="307">
        <f t="shared" si="4"/>
        <v>0</v>
      </c>
      <c r="J50" s="383">
        <f>I50*VLOOKUP($B$10,'Base Costs'!$A$32:$B$37,2,FALSE)</f>
        <v>0</v>
      </c>
      <c r="K50" s="384">
        <f t="shared" si="2"/>
        <v>0</v>
      </c>
    </row>
    <row r="51" spans="2:11" ht="16" x14ac:dyDescent="0.2">
      <c r="B51" s="269" t="s">
        <v>220</v>
      </c>
      <c r="C51" s="286"/>
      <c r="D51" s="269" t="s">
        <v>226</v>
      </c>
      <c r="E51" s="269"/>
      <c r="F51" s="380">
        <f>300*1.03</f>
        <v>309</v>
      </c>
      <c r="G51" s="378">
        <f t="shared" si="6"/>
        <v>0</v>
      </c>
      <c r="H51" s="382">
        <v>0.4</v>
      </c>
      <c r="I51" s="307">
        <f t="shared" si="4"/>
        <v>0</v>
      </c>
      <c r="J51" s="383">
        <f>I51*VLOOKUP($B$10,'Base Costs'!$A$32:$B$37,2,FALSE)</f>
        <v>0</v>
      </c>
      <c r="K51" s="384">
        <f t="shared" si="2"/>
        <v>0</v>
      </c>
    </row>
    <row r="52" spans="2:11" ht="16" x14ac:dyDescent="0.2">
      <c r="B52" s="269" t="s">
        <v>221</v>
      </c>
      <c r="C52" s="287"/>
      <c r="D52" s="587" t="s">
        <v>1095</v>
      </c>
      <c r="E52" s="272"/>
      <c r="F52" s="380">
        <v>610</v>
      </c>
      <c r="G52" s="378">
        <f t="shared" si="6"/>
        <v>0</v>
      </c>
      <c r="H52" s="382">
        <v>0.4</v>
      </c>
      <c r="I52" s="307">
        <f t="shared" si="4"/>
        <v>0</v>
      </c>
      <c r="J52" s="383">
        <f>I52*VLOOKUP($B$10,'Base Costs'!$A$32:$B$37,2,FALSE)</f>
        <v>0</v>
      </c>
      <c r="K52" s="384">
        <f t="shared" si="2"/>
        <v>0</v>
      </c>
    </row>
    <row r="53" spans="2:11" ht="16" x14ac:dyDescent="0.2">
      <c r="B53" s="269" t="s">
        <v>12</v>
      </c>
      <c r="C53" s="286"/>
      <c r="D53" s="269"/>
      <c r="E53" s="269"/>
      <c r="F53" s="380">
        <v>220</v>
      </c>
      <c r="G53" s="378">
        <f t="shared" si="6"/>
        <v>0</v>
      </c>
      <c r="H53" s="382">
        <v>0.33</v>
      </c>
      <c r="I53" s="307">
        <f t="shared" si="4"/>
        <v>0</v>
      </c>
      <c r="J53" s="383">
        <f>I53*VLOOKUP($B$10,'Base Costs'!$A$32:$B$37,2,FALSE)</f>
        <v>0</v>
      </c>
      <c r="K53" s="384">
        <f t="shared" si="2"/>
        <v>0</v>
      </c>
    </row>
    <row r="54" spans="2:11" ht="16" x14ac:dyDescent="0.2">
      <c r="B54" s="269" t="s">
        <v>13</v>
      </c>
      <c r="C54" s="286"/>
      <c r="D54" s="269"/>
      <c r="E54" s="269"/>
      <c r="F54" s="380">
        <v>0</v>
      </c>
      <c r="G54" s="378">
        <f t="shared" si="6"/>
        <v>0</v>
      </c>
      <c r="H54" s="382">
        <v>0.33</v>
      </c>
      <c r="I54" s="307">
        <f t="shared" si="4"/>
        <v>0</v>
      </c>
      <c r="J54" s="383">
        <f>I54*VLOOKUP($B$10,'Base Costs'!$A$32:$B$37,2,FALSE)</f>
        <v>0</v>
      </c>
      <c r="K54" s="384">
        <f t="shared" si="2"/>
        <v>0</v>
      </c>
    </row>
    <row r="55" spans="2:11" ht="16" x14ac:dyDescent="0.2">
      <c r="B55" s="269" t="s">
        <v>32</v>
      </c>
      <c r="C55" s="286"/>
      <c r="D55" s="270" t="s">
        <v>1459</v>
      </c>
      <c r="E55" s="269"/>
      <c r="F55" s="380">
        <v>604</v>
      </c>
      <c r="G55" s="378">
        <f t="shared" si="6"/>
        <v>0</v>
      </c>
      <c r="H55" s="382">
        <v>0.33</v>
      </c>
      <c r="I55" s="307">
        <f t="shared" si="4"/>
        <v>0</v>
      </c>
      <c r="J55" s="383">
        <f>I55*VLOOKUP($B$10,'Base Costs'!$A$32:$B$37,2,FALSE)</f>
        <v>0</v>
      </c>
      <c r="K55" s="384">
        <f t="shared" si="2"/>
        <v>0</v>
      </c>
    </row>
    <row r="56" spans="2:11" x14ac:dyDescent="0.2">
      <c r="B56" s="273"/>
      <c r="C56" s="17"/>
      <c r="D56" s="274"/>
      <c r="E56" s="274"/>
      <c r="F56" s="275"/>
      <c r="G56" s="371"/>
      <c r="H56" s="276"/>
      <c r="I56" s="372"/>
      <c r="J56" s="372"/>
      <c r="K56" s="369"/>
    </row>
    <row r="57" spans="2:11" x14ac:dyDescent="0.2">
      <c r="B57" s="197" t="s">
        <v>121</v>
      </c>
      <c r="C57" s="198"/>
      <c r="D57" s="199"/>
      <c r="E57" s="199"/>
      <c r="F57" s="198"/>
      <c r="G57" s="200"/>
      <c r="H57" s="198"/>
      <c r="I57" s="198"/>
      <c r="J57" s="198"/>
      <c r="K57" s="198"/>
    </row>
    <row r="58" spans="2:11" x14ac:dyDescent="0.2">
      <c r="B58" s="202"/>
      <c r="C58" s="203"/>
      <c r="D58" s="202"/>
      <c r="E58" s="204"/>
      <c r="F58" s="202"/>
      <c r="G58" s="209"/>
      <c r="H58" s="203"/>
      <c r="I58" s="203"/>
      <c r="J58" s="203"/>
      <c r="K58" s="205"/>
    </row>
    <row r="59" spans="2:11" x14ac:dyDescent="0.2">
      <c r="B59" s="202"/>
      <c r="C59" s="203"/>
      <c r="D59" s="202"/>
      <c r="E59" s="204"/>
      <c r="F59" s="202"/>
      <c r="G59" s="209"/>
      <c r="H59" s="203"/>
      <c r="I59" s="203"/>
      <c r="J59" s="203"/>
      <c r="K59" s="205"/>
    </row>
    <row r="60" spans="2:11" x14ac:dyDescent="0.2">
      <c r="B60" s="202"/>
      <c r="C60" s="203"/>
      <c r="D60" s="202"/>
      <c r="E60" s="204"/>
      <c r="F60" s="202"/>
      <c r="G60" s="209"/>
      <c r="H60" s="203"/>
      <c r="I60" s="203"/>
      <c r="J60" s="203"/>
      <c r="K60" s="209"/>
    </row>
    <row r="61" spans="2:11" x14ac:dyDescent="0.2">
      <c r="B61" s="202"/>
      <c r="C61" s="203"/>
      <c r="D61" s="202"/>
      <c r="E61" s="204"/>
      <c r="F61" s="202"/>
      <c r="G61" s="209"/>
      <c r="H61" s="206"/>
      <c r="I61" s="203"/>
      <c r="J61" s="203"/>
      <c r="K61" s="209"/>
    </row>
    <row r="62" spans="2:11" x14ac:dyDescent="0.2">
      <c r="B62" s="202"/>
      <c r="C62" s="203"/>
      <c r="D62" s="202"/>
      <c r="E62" s="202"/>
      <c r="F62" s="202"/>
      <c r="G62" s="207"/>
      <c r="H62" s="209"/>
      <c r="I62" s="203"/>
      <c r="J62" s="203"/>
      <c r="K62" s="205"/>
    </row>
    <row r="63" spans="2:11" x14ac:dyDescent="0.2">
      <c r="B63" s="202"/>
      <c r="C63" s="202"/>
      <c r="D63" s="202"/>
      <c r="E63" s="202"/>
      <c r="F63" s="202"/>
      <c r="G63" s="207"/>
      <c r="H63" s="209"/>
      <c r="I63" s="203"/>
      <c r="J63" s="203"/>
      <c r="K63" s="205"/>
    </row>
    <row r="64" spans="2:11" x14ac:dyDescent="0.2">
      <c r="D64" s="277"/>
      <c r="E64" s="277"/>
    </row>
    <row r="65" spans="2:5" x14ac:dyDescent="0.2">
      <c r="D65" s="277"/>
      <c r="E65" s="277"/>
    </row>
    <row r="66" spans="2:5" x14ac:dyDescent="0.2">
      <c r="D66" s="277"/>
      <c r="E66" s="277"/>
    </row>
    <row r="67" spans="2:5" x14ac:dyDescent="0.2">
      <c r="D67" s="277"/>
      <c r="E67" s="277"/>
    </row>
    <row r="68" spans="2:5" x14ac:dyDescent="0.2">
      <c r="D68" s="277"/>
      <c r="E68" s="277"/>
    </row>
    <row r="69" spans="2:5" x14ac:dyDescent="0.2">
      <c r="D69" s="277"/>
      <c r="E69" s="277"/>
    </row>
    <row r="70" spans="2:5" x14ac:dyDescent="0.2">
      <c r="D70" s="277"/>
      <c r="E70" s="277"/>
    </row>
    <row r="71" spans="2:5" x14ac:dyDescent="0.2">
      <c r="D71" s="277"/>
      <c r="E71" s="277"/>
    </row>
    <row r="72" spans="2:5" x14ac:dyDescent="0.2">
      <c r="D72" s="277"/>
      <c r="E72" s="277"/>
    </row>
    <row r="73" spans="2:5" x14ac:dyDescent="0.2">
      <c r="D73" s="277"/>
      <c r="E73" s="277"/>
    </row>
    <row r="74" spans="2:5" x14ac:dyDescent="0.2">
      <c r="D74" s="277"/>
      <c r="E74" s="277"/>
    </row>
    <row r="75" spans="2:5" x14ac:dyDescent="0.2">
      <c r="B75" s="277"/>
      <c r="C75" s="279"/>
      <c r="D75" s="277"/>
      <c r="E75" s="277"/>
    </row>
    <row r="76" spans="2:5" x14ac:dyDescent="0.2">
      <c r="B76" s="279"/>
      <c r="C76" s="279"/>
      <c r="D76" s="279"/>
      <c r="E76" s="279"/>
    </row>
    <row r="77" spans="2:5" x14ac:dyDescent="0.2">
      <c r="D77" s="277"/>
      <c r="E77" s="277"/>
    </row>
    <row r="78" spans="2:5" x14ac:dyDescent="0.2">
      <c r="D78" s="277"/>
      <c r="E78" s="277"/>
    </row>
    <row r="79" spans="2:5" x14ac:dyDescent="0.2">
      <c r="D79" s="277"/>
      <c r="E79" s="277"/>
    </row>
    <row r="80" spans="2:5" x14ac:dyDescent="0.2">
      <c r="D80" s="277"/>
      <c r="E80" s="277"/>
    </row>
    <row r="81" spans="4:5" x14ac:dyDescent="0.2">
      <c r="D81" s="277"/>
      <c r="E81" s="277"/>
    </row>
    <row r="82" spans="4:5" x14ac:dyDescent="0.2">
      <c r="D82" s="277"/>
      <c r="E82" s="277"/>
    </row>
    <row r="83" spans="4:5" x14ac:dyDescent="0.2">
      <c r="D83" s="277"/>
      <c r="E83" s="277"/>
    </row>
    <row r="84" spans="4:5" x14ac:dyDescent="0.2">
      <c r="D84" s="277"/>
      <c r="E84" s="277"/>
    </row>
    <row r="85" spans="4:5" x14ac:dyDescent="0.2">
      <c r="D85" s="277"/>
      <c r="E85" s="277"/>
    </row>
    <row r="86" spans="4:5" x14ac:dyDescent="0.2">
      <c r="D86" s="277"/>
      <c r="E86" s="277"/>
    </row>
  </sheetData>
  <protectedRanges>
    <protectedRange sqref="B11:F11" name="Estimating_1"/>
    <protectedRange sqref="B12:C13" name="Full_1" securityDescriptor="O:WDG:WDD:(A;;CC;;;S-1-5-21-1993962763-879983540-839522115-1156)"/>
    <protectedRange sqref="G56 B45:E45 B52:E56 C44 F44:F45 B46:F51 F52:F55 B14:F42" name="Estimating"/>
    <protectedRange sqref="B8:E8" name="Estimating_3" securityDescriptor="O:WDG:WDD:(A;;CC;;;S-1-5-21-1993962763-879983540-839522115-1221)"/>
    <protectedRange sqref="L8 N8 G8:H9" name="Estimating_4" securityDescriptor="O:WDG:WDD:(A;;CC;;;S-1-5-21-1993962763-879983540-839522115-1221)"/>
    <protectedRange sqref="J7 E2:E7 C5 C9:E9 I8:J8 B2:B6 C2:D4 C6:D6 F2 F4 F6 F8:F9 C7 K7:K8" name="Estimating_1_3" securityDescriptor="O:WDG:WDD:(A;;CC;;;S-1-5-21-1993962763-879983540-839522115-1221)"/>
    <protectedRange sqref="B43:F43" name="Estimating_5"/>
    <protectedRange sqref="D44:E44" name="Estimating_6"/>
    <protectedRange sqref="K63 F58:F63 B58:B62" name="Full" securityDescriptor="O:WDG:WDD:(A;;CC;;;S-1-5-21-1993962763-879983540-839522115-1156)"/>
    <protectedRange sqref="B63:C63" name="Full_2" securityDescriptor="O:WDG:WDD:(A;;CC;;;S-1-5-21-1993962763-879983540-839522115-1156)"/>
    <protectedRange sqref="D10" name="Estimating_1_1" securityDescriptor="O:WDG:WDD:(A;;CC;;;S-1-5-21-1993962763-879983540-839522115-1221)"/>
    <protectedRange sqref="F5 H4:H7 G4 F7 G6" name="Estimating_4_3" securityDescriptor="O:WDG:WDD:(A;;CC;;;S-1-5-21-1993962763-879983540-839522115-1221)"/>
  </protectedRanges>
  <mergeCells count="8">
    <mergeCell ref="L7:N7"/>
    <mergeCell ref="B1:D1"/>
    <mergeCell ref="C3:D3"/>
    <mergeCell ref="C5:D5"/>
    <mergeCell ref="C7:D7"/>
    <mergeCell ref="F3:H3"/>
    <mergeCell ref="F5:H5"/>
    <mergeCell ref="F7:H7"/>
  </mergeCells>
  <phoneticPr fontId="0" type="noConversion"/>
  <conditionalFormatting sqref="B10 F12:F13">
    <cfRule type="containsText" dxfId="377" priority="49" operator="containsText" text="SELECT">
      <formula>NOT(ISERROR(SEARCH("SELECT",B10)))</formula>
    </cfRule>
    <cfRule type="expression" dxfId="376" priority="50">
      <formula>B10="CURRENCY"</formula>
    </cfRule>
  </conditionalFormatting>
  <conditionalFormatting sqref="B14:B41">
    <cfRule type="expression" dxfId="375" priority="3">
      <formula>$C14&gt;0</formula>
    </cfRule>
  </conditionalFormatting>
  <conditionalFormatting sqref="B44:B55">
    <cfRule type="expression" dxfId="374" priority="1">
      <formula>$C44&gt;0</formula>
    </cfRule>
  </conditionalFormatting>
  <conditionalFormatting sqref="C14:C41 C44:C55">
    <cfRule type="cellIs" dxfId="373" priority="59" operator="equal">
      <formula>0</formula>
    </cfRule>
  </conditionalFormatting>
  <conditionalFormatting sqref="C10:D10">
    <cfRule type="cellIs" dxfId="372" priority="9" operator="lessThan">
      <formula>0</formula>
    </cfRule>
    <cfRule type="cellIs" dxfId="371" priority="10" operator="greaterThan">
      <formula>0</formula>
    </cfRule>
  </conditionalFormatting>
  <conditionalFormatting sqref="E12:E13">
    <cfRule type="cellIs" dxfId="370" priority="52" operator="greaterThan">
      <formula>0</formula>
    </cfRule>
    <cfRule type="cellIs" dxfId="369" priority="53" operator="lessThan">
      <formula>0</formula>
    </cfRule>
  </conditionalFormatting>
  <conditionalFormatting sqref="F14:F41 F44:F55">
    <cfRule type="expression" dxfId="368" priority="6">
      <formula>C14&gt;0</formula>
    </cfRule>
  </conditionalFormatting>
  <conditionalFormatting sqref="G14:G41 G44:G55">
    <cfRule type="cellIs" dxfId="367" priority="5" operator="greaterThan">
      <formula>0</formula>
    </cfRule>
  </conditionalFormatting>
  <conditionalFormatting sqref="H14:H41 H44:H55">
    <cfRule type="expression" dxfId="366" priority="231">
      <formula>$C$10&lt;0</formula>
    </cfRule>
    <cfRule type="expression" dxfId="365" priority="232">
      <formula>$C$10&gt;0</formula>
    </cfRule>
  </conditionalFormatting>
  <conditionalFormatting sqref="J1:J6 J8:J11 J13:J1048576">
    <cfRule type="expression" dxfId="364" priority="198">
      <formula>$B$10="EURO"</formula>
    </cfRule>
  </conditionalFormatting>
  <conditionalFormatting sqref="J10 J13:J41 J43:J55">
    <cfRule type="expression" dxfId="363" priority="205">
      <formula>$B$10="PLN"</formula>
    </cfRule>
    <cfRule type="expression" dxfId="362" priority="206">
      <formula>$B$10="CZK"</formula>
    </cfRule>
    <cfRule type="expression" dxfId="361" priority="207">
      <formula>$B$10="USD"</formula>
    </cfRule>
  </conditionalFormatting>
  <conditionalFormatting sqref="J14:K41 J44:K56">
    <cfRule type="cellIs" dxfId="360" priority="4" operator="greaterThan">
      <formula>0</formula>
    </cfRule>
  </conditionalFormatting>
  <dataValidations count="1">
    <dataValidation type="list" allowBlank="1" showInputMessage="1" showErrorMessage="1" sqref="F12:F13" xr:uid="{00000000-0002-0000-0B00-000000000000}">
      <formula1>$B$30:$B$35</formula1>
    </dataValidation>
  </dataValidations>
  <printOptions horizontalCentered="1"/>
  <pageMargins left="0.78740157480314965" right="0.35433070866141736" top="0.55118110236220474" bottom="0.39370078740157483" header="0.31496062992125984" footer="0.11811023622047245"/>
  <pageSetup paperSize="9" scale="46" orientation="portrait" r:id="rId1"/>
  <headerFooter alignWithMargins="0">
    <oddFooter>&amp;L&amp;Z&amp;F</oddFooter>
  </headerFooter>
  <ignoredErrors>
    <ignoredError sqref="H10 H43 H13 F48"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'Base Costs'!$A$4:$A$16</xm:f>
          </x14:formula1>
          <xm:sqref>D45:E45</xm:sqref>
        </x14:dataValidation>
        <x14:dataValidation type="list" allowBlank="1" showInputMessage="1" showErrorMessage="1" xr:uid="{00000000-0002-0000-0B00-000002000000}">
          <x14:formula1>
            <xm:f>'Base Costs'!$E$4:$E$213</xm:f>
          </x14:formula1>
          <xm:sqref>D44:E44</xm:sqref>
        </x14:dataValidation>
        <x14:dataValidation type="list" allowBlank="1" showInputMessage="1" showErrorMessage="1" xr:uid="{00000000-0002-0000-0B00-000003000000}">
          <x14:formula1>
            <xm:f>'Base Costs'!$A$32:$A$37</xm:f>
          </x14:formula1>
          <xm:sqref>B10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8" tint="0.79998168889431442"/>
    <pageSetUpPr fitToPage="1"/>
  </sheetPr>
  <dimension ref="B1:N181"/>
  <sheetViews>
    <sheetView zoomScale="80" zoomScaleNormal="80" zoomScalePageLayoutView="85" workbookViewId="0">
      <selection activeCell="K1" sqref="K1"/>
    </sheetView>
  </sheetViews>
  <sheetFormatPr baseColWidth="10" defaultColWidth="8.83203125" defaultRowHeight="15" x14ac:dyDescent="0.15"/>
  <cols>
    <col min="1" max="1" width="2.5" style="127" customWidth="1"/>
    <col min="2" max="2" width="30.6640625" style="127" customWidth="1"/>
    <col min="3" max="3" width="17.1640625" style="130" customWidth="1"/>
    <col min="4" max="4" width="33.1640625" style="134" customWidth="1"/>
    <col min="5" max="5" width="13.1640625" style="127" bestFit="1" customWidth="1"/>
    <col min="6" max="6" width="10.6640625" style="127" customWidth="1"/>
    <col min="7" max="7" width="16.5" style="127" customWidth="1"/>
    <col min="8" max="8" width="12.1640625" style="127" customWidth="1"/>
    <col min="9" max="9" width="16.33203125" style="127" hidden="1" customWidth="1"/>
    <col min="10" max="10" width="18.5" style="127" customWidth="1"/>
    <col min="11" max="11" width="16.33203125" style="127" customWidth="1"/>
    <col min="12" max="12" width="15.6640625" style="127" customWidth="1"/>
    <col min="13" max="13" width="9.5" style="127" customWidth="1"/>
    <col min="14" max="16384" width="8.83203125" style="127"/>
  </cols>
  <sheetData>
    <row r="1" spans="2:14" ht="19" x14ac:dyDescent="0.15">
      <c r="B1" s="1171" t="s">
        <v>1468</v>
      </c>
      <c r="C1" s="1171"/>
      <c r="D1" s="210"/>
      <c r="E1" s="211"/>
      <c r="F1" s="212"/>
      <c r="G1" s="213"/>
      <c r="H1" s="214"/>
      <c r="I1" s="212"/>
      <c r="J1" s="212"/>
      <c r="K1" s="981" t="s">
        <v>1478</v>
      </c>
      <c r="L1" s="126"/>
      <c r="M1" s="126"/>
    </row>
    <row r="2" spans="2:14" x14ac:dyDescent="0.15">
      <c r="C2" s="128"/>
      <c r="D2" s="129"/>
      <c r="F2" s="130"/>
      <c r="H2" s="131"/>
      <c r="K2" s="126"/>
      <c r="L2" s="126"/>
      <c r="M2" s="126"/>
    </row>
    <row r="3" spans="2:14" ht="16" x14ac:dyDescent="0.15">
      <c r="B3" s="132" t="s">
        <v>728</v>
      </c>
      <c r="C3" s="1155" t="str">
        <f>IF(CANOPY!C3="","",CANOPY!C3)</f>
        <v/>
      </c>
      <c r="D3" s="1155"/>
      <c r="E3" s="133" t="s">
        <v>75</v>
      </c>
      <c r="F3" s="1172" t="str">
        <f>IF(CANOPY!G3="","",CANOPY!G3)</f>
        <v/>
      </c>
      <c r="G3" s="1172"/>
      <c r="H3" s="1172"/>
      <c r="L3" s="126"/>
      <c r="M3" s="126"/>
    </row>
    <row r="4" spans="2:14" x14ac:dyDescent="0.15">
      <c r="B4" s="134"/>
      <c r="C4" s="51"/>
      <c r="D4" s="51"/>
      <c r="E4" s="135"/>
      <c r="G4" s="136"/>
      <c r="H4" s="126"/>
      <c r="L4" s="126"/>
      <c r="M4" s="126"/>
    </row>
    <row r="5" spans="2:14" ht="16" x14ac:dyDescent="0.15">
      <c r="B5" s="132" t="s">
        <v>72</v>
      </c>
      <c r="C5" s="1155" t="str">
        <f>IF(CANOPY!C5="","",CANOPY!C5)</f>
        <v/>
      </c>
      <c r="D5" s="1155"/>
      <c r="E5" s="133" t="s">
        <v>74</v>
      </c>
      <c r="F5" s="1172" t="str">
        <f>IF(CANOPY!G5="","",CANOPY!G5)</f>
        <v/>
      </c>
      <c r="G5" s="1172"/>
      <c r="H5" s="1172"/>
      <c r="L5" s="126"/>
      <c r="M5" s="126"/>
    </row>
    <row r="6" spans="2:14" x14ac:dyDescent="0.15">
      <c r="B6" s="132"/>
      <c r="C6" s="137"/>
      <c r="D6" s="138"/>
      <c r="E6" s="133"/>
      <c r="H6" s="126"/>
      <c r="L6" s="126"/>
      <c r="M6" s="126"/>
    </row>
    <row r="7" spans="2:14" ht="16" x14ac:dyDescent="0.15">
      <c r="B7" s="80" t="s">
        <v>729</v>
      </c>
      <c r="C7" s="1155" t="str">
        <f>IF(CANOPY!C7="","",CANOPY!C7)</f>
        <v/>
      </c>
      <c r="D7" s="1155"/>
      <c r="E7" s="139" t="s">
        <v>73</v>
      </c>
      <c r="F7" s="1170" t="str">
        <f>IF(CANOPY!G7="","",CANOPY!G7)</f>
        <v/>
      </c>
      <c r="G7" s="1170"/>
      <c r="H7" s="1170"/>
      <c r="I7" s="137" t="s">
        <v>235</v>
      </c>
      <c r="J7" s="137"/>
      <c r="K7" s="910" t="str">
        <f>IF(CANOPY!O7="","",CANOPY!O7)</f>
        <v/>
      </c>
      <c r="L7" s="1091" t="s">
        <v>1372</v>
      </c>
      <c r="M7" s="1091"/>
      <c r="N7" s="1091"/>
    </row>
    <row r="8" spans="2:14" x14ac:dyDescent="0.15">
      <c r="B8" s="134"/>
      <c r="D8" s="140"/>
      <c r="H8" s="131"/>
      <c r="I8" s="136"/>
      <c r="J8" s="136"/>
      <c r="K8" s="126"/>
      <c r="L8" s="126"/>
      <c r="M8" s="126"/>
    </row>
    <row r="9" spans="2:14" x14ac:dyDescent="0.15">
      <c r="B9" s="38" t="s">
        <v>348</v>
      </c>
      <c r="C9" s="953"/>
      <c r="D9" s="377">
        <f>IF(C9=0,0,(SUBTOTAL(9,I12:I60)/(1-C9))-I9)</f>
        <v>0</v>
      </c>
      <c r="G9" s="25">
        <f>SUBTOTAL(9,G13:G60)</f>
        <v>1258</v>
      </c>
      <c r="H9" s="974">
        <f>IF(K9=0,"-",K9/I9)</f>
        <v>0.33519028705033943</v>
      </c>
      <c r="I9" s="25">
        <f>SUBTOTAL(9,I13:I64)</f>
        <v>1892.27078891258</v>
      </c>
      <c r="J9" s="464">
        <f>SUBTOTAL(9,J13:J60)</f>
        <v>1892.27078891258</v>
      </c>
      <c r="K9" s="25">
        <f>SUBTOTAL(9,K13:K60)</f>
        <v>634.27078891257997</v>
      </c>
      <c r="L9" s="141"/>
      <c r="M9" s="141"/>
    </row>
    <row r="10" spans="2:14" ht="16" x14ac:dyDescent="0.15">
      <c r="B10" s="72" t="s">
        <v>348</v>
      </c>
      <c r="C10" s="72" t="s">
        <v>537</v>
      </c>
      <c r="D10" s="72" t="s">
        <v>536</v>
      </c>
      <c r="E10" s="72" t="s">
        <v>356</v>
      </c>
      <c r="F10" s="72" t="s">
        <v>204</v>
      </c>
      <c r="G10" s="72" t="s">
        <v>34</v>
      </c>
      <c r="H10" s="72" t="s">
        <v>141</v>
      </c>
      <c r="I10" s="72" t="s">
        <v>205</v>
      </c>
      <c r="J10" s="72" t="s">
        <v>205</v>
      </c>
      <c r="K10" s="143" t="s">
        <v>206</v>
      </c>
      <c r="L10" s="126"/>
      <c r="M10" s="141"/>
    </row>
    <row r="11" spans="2:14" x14ac:dyDescent="0.15">
      <c r="B11" s="137"/>
      <c r="C11" s="137"/>
      <c r="D11" s="132"/>
      <c r="E11" s="137"/>
      <c r="F11" s="137"/>
      <c r="G11" s="137"/>
      <c r="H11" s="137"/>
      <c r="I11" s="137"/>
      <c r="J11" s="137"/>
      <c r="K11" s="141"/>
      <c r="L11" s="126"/>
      <c r="M11" s="141"/>
    </row>
    <row r="12" spans="2:14" ht="16" x14ac:dyDescent="0.15">
      <c r="B12" s="57" t="s">
        <v>106</v>
      </c>
      <c r="C12" s="86" t="s">
        <v>2</v>
      </c>
      <c r="D12" s="57" t="s">
        <v>1092</v>
      </c>
      <c r="E12" s="59"/>
      <c r="F12" s="144"/>
      <c r="G12" s="61">
        <f>SUBTOTAL(9,G13:G21)</f>
        <v>50</v>
      </c>
      <c r="H12" s="39">
        <f>IF(G12=0,"-",K12/I12)</f>
        <v>0.43999999999999995</v>
      </c>
      <c r="I12" s="61">
        <f>SUBTOTAL(9,I13:I21)</f>
        <v>89.285714285714278</v>
      </c>
      <c r="J12" s="465">
        <f>SUBTOTAL(9,J13:J21)</f>
        <v>89.285714285714278</v>
      </c>
      <c r="K12" s="61">
        <f>SUBTOTAL(9,K13:K21)</f>
        <v>39.285714285714278</v>
      </c>
      <c r="L12" s="126"/>
      <c r="M12" s="141"/>
    </row>
    <row r="13" spans="2:14" ht="16" x14ac:dyDescent="0.15">
      <c r="B13" s="269" t="s">
        <v>1319</v>
      </c>
      <c r="C13" s="295"/>
      <c r="D13" s="310" t="s">
        <v>451</v>
      </c>
      <c r="E13" s="290"/>
      <c r="F13" s="930">
        <f>'Base Costs'!AM29</f>
        <v>1374.1734000000001</v>
      </c>
      <c r="G13" s="378">
        <f>C13*F13</f>
        <v>0</v>
      </c>
      <c r="H13" s="381">
        <v>0.37</v>
      </c>
      <c r="I13" s="311">
        <f>G13/(1-H13)*(1+$C$9)</f>
        <v>0</v>
      </c>
      <c r="J13" s="378">
        <f>I13*VLOOKUP($B$9,'Base Costs'!$A$32:$B$37,2,FALSE)</f>
        <v>0</v>
      </c>
      <c r="K13" s="379">
        <f t="shared" ref="K13:K21" si="0">I13-G13</f>
        <v>0</v>
      </c>
      <c r="L13" s="126"/>
      <c r="M13" s="126"/>
    </row>
    <row r="14" spans="2:14" ht="14.5" customHeight="1" x14ac:dyDescent="0.15">
      <c r="B14" s="583" t="s">
        <v>1330</v>
      </c>
      <c r="C14" s="295"/>
      <c r="D14" s="1168" t="s">
        <v>1331</v>
      </c>
      <c r="E14" s="1169"/>
      <c r="F14" s="380">
        <f>'Base Costs'!AM30</f>
        <v>281.43</v>
      </c>
      <c r="G14" s="378">
        <f t="shared" ref="G14:G60" si="1">C14*F14</f>
        <v>0</v>
      </c>
      <c r="H14" s="381">
        <v>0.37</v>
      </c>
      <c r="I14" s="311">
        <f t="shared" ref="I14:I21" si="2">G14/(1-H14)*(1+$C$9)</f>
        <v>0</v>
      </c>
      <c r="J14" s="378">
        <f>I14*VLOOKUP($B$9,'Base Costs'!$A$32:$B$37,2,FALSE)</f>
        <v>0</v>
      </c>
      <c r="K14" s="379">
        <f t="shared" si="0"/>
        <v>0</v>
      </c>
    </row>
    <row r="15" spans="2:14" ht="16" x14ac:dyDescent="0.15">
      <c r="B15" s="269" t="s">
        <v>107</v>
      </c>
      <c r="C15" s="295"/>
      <c r="D15" s="310"/>
      <c r="E15" s="290"/>
      <c r="F15" s="380">
        <f>'Base Costs'!AM31</f>
        <v>69.37700000000001</v>
      </c>
      <c r="G15" s="378">
        <f t="shared" si="1"/>
        <v>0</v>
      </c>
      <c r="H15" s="381">
        <v>0.37</v>
      </c>
      <c r="I15" s="311">
        <f t="shared" si="2"/>
        <v>0</v>
      </c>
      <c r="J15" s="378">
        <f>I15*VLOOKUP($B$9,'Base Costs'!$A$32:$B$37,2,FALSE)</f>
        <v>0</v>
      </c>
      <c r="K15" s="379">
        <f t="shared" si="0"/>
        <v>0</v>
      </c>
    </row>
    <row r="16" spans="2:14" x14ac:dyDescent="0.15">
      <c r="B16" s="269"/>
      <c r="C16" s="295"/>
      <c r="D16" s="310"/>
      <c r="E16" s="290"/>
      <c r="F16" s="380">
        <f>'Base Costs'!AM32</f>
        <v>0</v>
      </c>
      <c r="G16" s="378">
        <f t="shared" si="1"/>
        <v>0</v>
      </c>
      <c r="H16" s="381">
        <v>0.37</v>
      </c>
      <c r="I16" s="311">
        <f t="shared" si="2"/>
        <v>0</v>
      </c>
      <c r="J16" s="378">
        <f>I16*VLOOKUP($B$9,'Base Costs'!$A$32:$B$37,2,FALSE)</f>
        <v>0</v>
      </c>
      <c r="K16" s="379">
        <f t="shared" si="0"/>
        <v>0</v>
      </c>
    </row>
    <row r="17" spans="2:12" x14ac:dyDescent="0.15">
      <c r="B17" s="269"/>
      <c r="C17" s="295"/>
      <c r="D17" s="310"/>
      <c r="E17" s="290"/>
      <c r="F17" s="380">
        <f>'Base Costs'!AM33</f>
        <v>50</v>
      </c>
      <c r="G17" s="378">
        <f t="shared" si="1"/>
        <v>0</v>
      </c>
      <c r="H17" s="381">
        <v>0.37</v>
      </c>
      <c r="I17" s="311">
        <f t="shared" si="2"/>
        <v>0</v>
      </c>
      <c r="J17" s="378">
        <f>I17*VLOOKUP($B$9,'Base Costs'!$A$32:$B$37,2,FALSE)</f>
        <v>0</v>
      </c>
      <c r="K17" s="379">
        <f t="shared" si="0"/>
        <v>0</v>
      </c>
    </row>
    <row r="18" spans="2:12" ht="16" x14ac:dyDescent="0.15">
      <c r="B18" s="269" t="s">
        <v>1096</v>
      </c>
      <c r="C18" s="295"/>
      <c r="D18" s="929" t="s">
        <v>1332</v>
      </c>
      <c r="E18" s="290"/>
      <c r="F18" s="380">
        <v>340</v>
      </c>
      <c r="G18" s="378">
        <f t="shared" si="1"/>
        <v>0</v>
      </c>
      <c r="H18" s="381">
        <v>0.37</v>
      </c>
      <c r="I18" s="311">
        <f t="shared" si="2"/>
        <v>0</v>
      </c>
      <c r="J18" s="378">
        <f>I18*VLOOKUP($B$9,'Base Costs'!$A$32:$B$37,2,FALSE)</f>
        <v>0</v>
      </c>
      <c r="K18" s="379">
        <f t="shared" si="0"/>
        <v>0</v>
      </c>
    </row>
    <row r="19" spans="2:12" x14ac:dyDescent="0.15">
      <c r="B19" s="269"/>
      <c r="C19" s="295"/>
      <c r="D19" s="310"/>
      <c r="E19" s="290"/>
      <c r="F19" s="380">
        <f>'Base Costs'!AM35</f>
        <v>0</v>
      </c>
      <c r="G19" s="378">
        <f t="shared" si="1"/>
        <v>0</v>
      </c>
      <c r="H19" s="381">
        <v>0.37</v>
      </c>
      <c r="I19" s="311">
        <f t="shared" si="2"/>
        <v>0</v>
      </c>
      <c r="J19" s="378">
        <f>I19*VLOOKUP($B$9,'Base Costs'!$A$32:$B$37,2,FALSE)</f>
        <v>0</v>
      </c>
      <c r="K19" s="379">
        <f t="shared" si="0"/>
        <v>0</v>
      </c>
    </row>
    <row r="20" spans="2:12" ht="16" x14ac:dyDescent="0.15">
      <c r="B20" s="984" t="s">
        <v>1369</v>
      </c>
      <c r="C20" s="1015">
        <v>1</v>
      </c>
      <c r="D20" s="1016"/>
      <c r="E20" s="1017"/>
      <c r="F20" s="1001">
        <v>50</v>
      </c>
      <c r="G20" s="1002">
        <f t="shared" ref="G20" si="3">C20*F20</f>
        <v>50</v>
      </c>
      <c r="H20" s="1003">
        <v>0.44</v>
      </c>
      <c r="I20" s="1004">
        <f t="shared" ref="I20" si="4">G20/(1-H20)*(1+$C$9)</f>
        <v>89.285714285714278</v>
      </c>
      <c r="J20" s="1002">
        <f>I20*VLOOKUP($B$9,'Base Costs'!$A$32:$B$37,2,FALSE)</f>
        <v>89.285714285714278</v>
      </c>
      <c r="K20" s="1005">
        <f t="shared" ref="K20" si="5">I20-G20</f>
        <v>39.285714285714278</v>
      </c>
      <c r="L20" s="1018" t="s">
        <v>1360</v>
      </c>
    </row>
    <row r="21" spans="2:12" x14ac:dyDescent="0.15">
      <c r="B21" s="269"/>
      <c r="C21" s="295"/>
      <c r="D21" s="310"/>
      <c r="E21" s="290"/>
      <c r="F21" s="380">
        <v>290</v>
      </c>
      <c r="G21" s="378">
        <f t="shared" si="1"/>
        <v>0</v>
      </c>
      <c r="H21" s="381">
        <v>0.37</v>
      </c>
      <c r="I21" s="311">
        <f t="shared" si="2"/>
        <v>0</v>
      </c>
      <c r="J21" s="378">
        <f>I21*VLOOKUP($B$9,'Base Costs'!$A$32:$B$37,2,FALSE)</f>
        <v>0</v>
      </c>
      <c r="K21" s="379">
        <f t="shared" si="0"/>
        <v>0</v>
      </c>
    </row>
    <row r="22" spans="2:12" ht="16" x14ac:dyDescent="0.15">
      <c r="B22" s="142"/>
      <c r="C22" s="137"/>
      <c r="D22" s="142" t="s">
        <v>437</v>
      </c>
      <c r="F22" s="151"/>
      <c r="G22" s="291"/>
      <c r="H22" s="65"/>
      <c r="I22" s="147"/>
      <c r="J22" s="147"/>
      <c r="K22" s="148"/>
    </row>
    <row r="23" spans="2:12" ht="16" x14ac:dyDescent="0.15">
      <c r="B23" s="57" t="s">
        <v>108</v>
      </c>
      <c r="C23" s="86"/>
      <c r="D23" s="57" t="s">
        <v>109</v>
      </c>
      <c r="E23" s="60"/>
      <c r="F23" s="292"/>
      <c r="G23" s="61">
        <f>SUBTOTAL(9,G24:G31)</f>
        <v>0</v>
      </c>
      <c r="H23" s="39" t="str">
        <f>IF(G23=0,"-",K23/I23)</f>
        <v>-</v>
      </c>
      <c r="I23" s="61">
        <f>SUBTOTAL(9,I24:I31)</f>
        <v>0</v>
      </c>
      <c r="J23" s="465">
        <f>SUBTOTAL(9,J24:J31)</f>
        <v>0</v>
      </c>
      <c r="K23" s="61">
        <f>SUBTOTAL(9,K24:K31)</f>
        <v>0</v>
      </c>
    </row>
    <row r="24" spans="2:12" ht="16" x14ac:dyDescent="0.15">
      <c r="B24" s="583" t="s">
        <v>1333</v>
      </c>
      <c r="C24" s="295"/>
      <c r="D24" s="310" t="s">
        <v>452</v>
      </c>
      <c r="E24" s="290"/>
      <c r="F24" s="380">
        <f>'Base Costs'!AM41</f>
        <v>226.84</v>
      </c>
      <c r="G24" s="378">
        <f t="shared" si="1"/>
        <v>0</v>
      </c>
      <c r="H24" s="381">
        <v>0.37</v>
      </c>
      <c r="I24" s="311">
        <f t="shared" ref="I24:I31" si="6">G24/(1-H24)*(1+$C$9)</f>
        <v>0</v>
      </c>
      <c r="J24" s="378">
        <f>I24*VLOOKUP($B$9,'Base Costs'!$A$32:$B$37,2,FALSE)</f>
        <v>0</v>
      </c>
      <c r="K24" s="379">
        <f t="shared" ref="K24:K31" si="7">I24-G24</f>
        <v>0</v>
      </c>
    </row>
    <row r="25" spans="2:12" ht="16" x14ac:dyDescent="0.15">
      <c r="B25" s="583" t="s">
        <v>234</v>
      </c>
      <c r="C25" s="295"/>
      <c r="D25" s="310" t="s">
        <v>453</v>
      </c>
      <c r="E25" s="290"/>
      <c r="F25" s="380">
        <f>'Base Costs'!AM42</f>
        <v>2.0670000000000002</v>
      </c>
      <c r="G25" s="378">
        <f t="shared" si="1"/>
        <v>0</v>
      </c>
      <c r="H25" s="381">
        <v>0.37</v>
      </c>
      <c r="I25" s="311">
        <f t="shared" si="6"/>
        <v>0</v>
      </c>
      <c r="J25" s="378">
        <f>I25*VLOOKUP($B$9,'Base Costs'!$A$32:$B$37,2,FALSE)</f>
        <v>0</v>
      </c>
      <c r="K25" s="379">
        <f t="shared" si="7"/>
        <v>0</v>
      </c>
    </row>
    <row r="26" spans="2:12" ht="16" x14ac:dyDescent="0.15">
      <c r="B26" s="269" t="s">
        <v>1477</v>
      </c>
      <c r="C26" s="295"/>
      <c r="D26" s="310" t="s">
        <v>454</v>
      </c>
      <c r="E26" s="290"/>
      <c r="F26" s="380">
        <f>'Base Costs'!AM43</f>
        <v>60</v>
      </c>
      <c r="G26" s="378">
        <f t="shared" si="1"/>
        <v>0</v>
      </c>
      <c r="H26" s="381">
        <v>0.37</v>
      </c>
      <c r="I26" s="311">
        <f t="shared" si="6"/>
        <v>0</v>
      </c>
      <c r="J26" s="378">
        <f>I26*VLOOKUP($B$9,'Base Costs'!$A$32:$B$37,2,FALSE)</f>
        <v>0</v>
      </c>
      <c r="K26" s="379">
        <f t="shared" si="7"/>
        <v>0</v>
      </c>
    </row>
    <row r="27" spans="2:12" ht="16" x14ac:dyDescent="0.15">
      <c r="B27" s="583" t="s">
        <v>1334</v>
      </c>
      <c r="C27" s="295"/>
      <c r="D27" s="310" t="s">
        <v>454</v>
      </c>
      <c r="E27" s="290"/>
      <c r="F27" s="380">
        <f>'Base Costs'!AM44</f>
        <v>7.2292000000000005</v>
      </c>
      <c r="G27" s="378">
        <f t="shared" si="1"/>
        <v>0</v>
      </c>
      <c r="H27" s="381">
        <v>0.37</v>
      </c>
      <c r="I27" s="311">
        <f t="shared" si="6"/>
        <v>0</v>
      </c>
      <c r="J27" s="378">
        <f>I27*VLOOKUP($B$9,'Base Costs'!$A$32:$B$37,2,FALSE)</f>
        <v>0</v>
      </c>
      <c r="K27" s="379">
        <f t="shared" si="7"/>
        <v>0</v>
      </c>
    </row>
    <row r="28" spans="2:12" ht="16" x14ac:dyDescent="0.15">
      <c r="B28" s="583" t="s">
        <v>1335</v>
      </c>
      <c r="C28" s="295"/>
      <c r="D28" s="310" t="s">
        <v>454</v>
      </c>
      <c r="E28" s="290"/>
      <c r="F28" s="380">
        <f>'Base Costs'!AM45</f>
        <v>136.83540000000002</v>
      </c>
      <c r="G28" s="378">
        <f t="shared" si="1"/>
        <v>0</v>
      </c>
      <c r="H28" s="381">
        <v>0.37</v>
      </c>
      <c r="I28" s="311">
        <f t="shared" si="6"/>
        <v>0</v>
      </c>
      <c r="J28" s="378">
        <f>I28*VLOOKUP($B$9,'Base Costs'!$A$32:$B$37,2,FALSE)</f>
        <v>0</v>
      </c>
      <c r="K28" s="379">
        <f t="shared" si="7"/>
        <v>0</v>
      </c>
    </row>
    <row r="29" spans="2:12" ht="16" x14ac:dyDescent="0.15">
      <c r="B29" s="583" t="s">
        <v>233</v>
      </c>
      <c r="C29" s="295"/>
      <c r="D29" s="310" t="s">
        <v>1097</v>
      </c>
      <c r="E29" s="290"/>
      <c r="F29" s="380">
        <f>'Base Costs'!AM46</f>
        <v>409.22360000000003</v>
      </c>
      <c r="G29" s="378">
        <f t="shared" si="1"/>
        <v>0</v>
      </c>
      <c r="H29" s="381">
        <v>0.37</v>
      </c>
      <c r="I29" s="311">
        <f t="shared" si="6"/>
        <v>0</v>
      </c>
      <c r="J29" s="378">
        <f>I29*VLOOKUP($B$9,'Base Costs'!$A$32:$B$37,2,FALSE)</f>
        <v>0</v>
      </c>
      <c r="K29" s="379">
        <f t="shared" si="7"/>
        <v>0</v>
      </c>
    </row>
    <row r="30" spans="2:12" ht="16" x14ac:dyDescent="0.15">
      <c r="B30" s="269"/>
      <c r="C30" s="295"/>
      <c r="D30" s="310" t="s">
        <v>455</v>
      </c>
      <c r="E30" s="290"/>
      <c r="F30" s="380">
        <f>'Base Costs'!AM47</f>
        <v>298.32640000000004</v>
      </c>
      <c r="G30" s="378">
        <f t="shared" si="1"/>
        <v>0</v>
      </c>
      <c r="H30" s="381">
        <v>0.37</v>
      </c>
      <c r="I30" s="311">
        <f t="shared" si="6"/>
        <v>0</v>
      </c>
      <c r="J30" s="378">
        <f>I30*VLOOKUP($B$9,'Base Costs'!$A$32:$B$37,2,FALSE)</f>
        <v>0</v>
      </c>
      <c r="K30" s="379">
        <f t="shared" si="7"/>
        <v>0</v>
      </c>
    </row>
    <row r="31" spans="2:12" ht="16" x14ac:dyDescent="0.15">
      <c r="B31" s="269"/>
      <c r="C31" s="295"/>
      <c r="D31" s="310" t="s">
        <v>456</v>
      </c>
      <c r="E31" s="290"/>
      <c r="F31" s="380">
        <f>'Base Costs'!AM48</f>
        <v>333.63499999999999</v>
      </c>
      <c r="G31" s="378">
        <f t="shared" si="1"/>
        <v>0</v>
      </c>
      <c r="H31" s="381">
        <v>0.37</v>
      </c>
      <c r="I31" s="311">
        <f t="shared" si="6"/>
        <v>0</v>
      </c>
      <c r="J31" s="378">
        <f>I31*VLOOKUP($B$9,'Base Costs'!$A$32:$B$37,2,FALSE)</f>
        <v>0</v>
      </c>
      <c r="K31" s="379">
        <f t="shared" si="7"/>
        <v>0</v>
      </c>
    </row>
    <row r="32" spans="2:12" ht="16" x14ac:dyDescent="0.15">
      <c r="B32" s="142"/>
      <c r="C32" s="137"/>
      <c r="D32" s="142" t="s">
        <v>437</v>
      </c>
      <c r="F32" s="151"/>
      <c r="G32" s="291"/>
      <c r="H32" s="65"/>
      <c r="I32" s="147"/>
      <c r="J32" s="147"/>
      <c r="K32" s="148"/>
    </row>
    <row r="33" spans="2:11" ht="16" x14ac:dyDescent="0.15">
      <c r="B33" s="57" t="s">
        <v>108</v>
      </c>
      <c r="C33" s="86"/>
      <c r="D33" s="57" t="s">
        <v>1387</v>
      </c>
      <c r="E33" s="60"/>
      <c r="F33" s="292"/>
      <c r="G33" s="61">
        <f>SUBTOTAL(9,G34:G42)</f>
        <v>0</v>
      </c>
      <c r="H33" s="39" t="str">
        <f>IF(G33=0,"-",K33/I33)</f>
        <v>-</v>
      </c>
      <c r="I33" s="61">
        <f>SUBTOTAL(9,I34:I42)</f>
        <v>0</v>
      </c>
      <c r="J33" s="465">
        <f>SUBTOTAL(9,J34:J42)</f>
        <v>0</v>
      </c>
      <c r="K33" s="61">
        <f>SUBTOTAL(9,K34:K42)</f>
        <v>0</v>
      </c>
    </row>
    <row r="34" spans="2:11" ht="16" x14ac:dyDescent="0.15">
      <c r="B34" s="971" t="s">
        <v>1388</v>
      </c>
      <c r="C34" s="295"/>
      <c r="D34" s="310" t="s">
        <v>455</v>
      </c>
      <c r="E34" s="290"/>
      <c r="F34" s="380">
        <v>281.44</v>
      </c>
      <c r="G34" s="378">
        <f t="shared" si="1"/>
        <v>0</v>
      </c>
      <c r="H34" s="381">
        <v>0.37</v>
      </c>
      <c r="I34" s="311">
        <f t="shared" ref="I34:I42" si="8">G34/(1-H34)*(1+$C$9)</f>
        <v>0</v>
      </c>
      <c r="J34" s="378">
        <f>I34*VLOOKUP($B$9,'Base Costs'!$A$32:$B$37,2,FALSE)</f>
        <v>0</v>
      </c>
      <c r="K34" s="379">
        <f t="shared" ref="K34:K42" si="9">I34-G34</f>
        <v>0</v>
      </c>
    </row>
    <row r="35" spans="2:11" ht="16" x14ac:dyDescent="0.15">
      <c r="B35" s="583"/>
      <c r="C35" s="295"/>
      <c r="D35" s="310" t="s">
        <v>437</v>
      </c>
      <c r="E35" s="290"/>
      <c r="F35" s="380">
        <f>'Base Costs'!AM53</f>
        <v>0</v>
      </c>
      <c r="G35" s="378">
        <f t="shared" si="1"/>
        <v>0</v>
      </c>
      <c r="H35" s="381">
        <v>0.37</v>
      </c>
      <c r="I35" s="311">
        <f t="shared" si="8"/>
        <v>0</v>
      </c>
      <c r="J35" s="378">
        <f>I35*VLOOKUP($B$9,'Base Costs'!$A$32:$B$37,2,FALSE)</f>
        <v>0</v>
      </c>
      <c r="K35" s="379">
        <f t="shared" si="9"/>
        <v>0</v>
      </c>
    </row>
    <row r="36" spans="2:11" x14ac:dyDescent="0.15">
      <c r="B36" s="583"/>
      <c r="C36" s="295"/>
      <c r="D36" s="310"/>
      <c r="E36" s="290"/>
      <c r="F36" s="380">
        <v>314.75</v>
      </c>
      <c r="G36" s="378">
        <f t="shared" si="1"/>
        <v>0</v>
      </c>
      <c r="H36" s="381">
        <v>0.37</v>
      </c>
      <c r="I36" s="311">
        <f t="shared" si="8"/>
        <v>0</v>
      </c>
      <c r="J36" s="378">
        <f>I36*VLOOKUP($B$9,'Base Costs'!$A$32:$B$37,2,FALSE)</f>
        <v>0</v>
      </c>
      <c r="K36" s="379">
        <f t="shared" si="9"/>
        <v>0</v>
      </c>
    </row>
    <row r="37" spans="2:11" x14ac:dyDescent="0.15">
      <c r="B37" s="970" t="s">
        <v>1389</v>
      </c>
      <c r="C37" s="295"/>
      <c r="D37" s="310"/>
      <c r="E37" s="290"/>
      <c r="F37" s="380">
        <f>'Base Costs'!AM55</f>
        <v>0</v>
      </c>
      <c r="G37" s="378">
        <f t="shared" si="1"/>
        <v>0</v>
      </c>
      <c r="H37" s="381">
        <v>0.37</v>
      </c>
      <c r="I37" s="311">
        <f t="shared" si="8"/>
        <v>0</v>
      </c>
      <c r="J37" s="378">
        <f>I37*VLOOKUP($B$9,'Base Costs'!$A$32:$B$37,2,FALSE)</f>
        <v>0</v>
      </c>
      <c r="K37" s="379">
        <f t="shared" si="9"/>
        <v>0</v>
      </c>
    </row>
    <row r="38" spans="2:11" ht="16" x14ac:dyDescent="0.15">
      <c r="B38" s="269"/>
      <c r="C38" s="295"/>
      <c r="D38" s="310" t="s">
        <v>437</v>
      </c>
      <c r="E38" s="290"/>
      <c r="F38" s="380">
        <f>'Base Costs'!AM56</f>
        <v>0</v>
      </c>
      <c r="G38" s="378">
        <f t="shared" si="1"/>
        <v>0</v>
      </c>
      <c r="H38" s="381">
        <v>0.37</v>
      </c>
      <c r="I38" s="311">
        <f t="shared" si="8"/>
        <v>0</v>
      </c>
      <c r="J38" s="378">
        <f>I38*VLOOKUP($B$9,'Base Costs'!$A$32:$B$37,2,FALSE)</f>
        <v>0</v>
      </c>
      <c r="K38" s="379">
        <f t="shared" si="9"/>
        <v>0</v>
      </c>
    </row>
    <row r="39" spans="2:11" ht="16" x14ac:dyDescent="0.15">
      <c r="B39" s="269"/>
      <c r="C39" s="295"/>
      <c r="D39" s="310" t="s">
        <v>437</v>
      </c>
      <c r="E39" s="290"/>
      <c r="F39" s="380">
        <v>0</v>
      </c>
      <c r="G39" s="378">
        <f t="shared" si="1"/>
        <v>0</v>
      </c>
      <c r="H39" s="381">
        <v>0.37</v>
      </c>
      <c r="I39" s="311">
        <f t="shared" si="8"/>
        <v>0</v>
      </c>
      <c r="J39" s="378">
        <f>I39*VLOOKUP($B$9,'Base Costs'!$A$32:$B$37,2,FALSE)</f>
        <v>0</v>
      </c>
      <c r="K39" s="379">
        <f t="shared" si="9"/>
        <v>0</v>
      </c>
    </row>
    <row r="40" spans="2:11" ht="16" x14ac:dyDescent="0.15">
      <c r="B40" s="269" t="s">
        <v>662</v>
      </c>
      <c r="C40" s="295"/>
      <c r="D40" s="310" t="s">
        <v>437</v>
      </c>
      <c r="E40" s="290"/>
      <c r="F40" s="380">
        <v>550</v>
      </c>
      <c r="G40" s="378">
        <f t="shared" si="1"/>
        <v>0</v>
      </c>
      <c r="H40" s="381">
        <v>0.37</v>
      </c>
      <c r="I40" s="311">
        <f t="shared" si="8"/>
        <v>0</v>
      </c>
      <c r="J40" s="378">
        <f>I40*VLOOKUP($B$9,'Base Costs'!$A$32:$B$37,2,FALSE)</f>
        <v>0</v>
      </c>
      <c r="K40" s="379">
        <f t="shared" si="9"/>
        <v>0</v>
      </c>
    </row>
    <row r="41" spans="2:11" ht="16" x14ac:dyDescent="0.15">
      <c r="B41" s="269" t="s">
        <v>817</v>
      </c>
      <c r="C41" s="295"/>
      <c r="D41" s="310"/>
      <c r="E41" s="290"/>
      <c r="F41" s="380">
        <v>75</v>
      </c>
      <c r="G41" s="378">
        <f t="shared" si="1"/>
        <v>0</v>
      </c>
      <c r="H41" s="381">
        <v>0.37</v>
      </c>
      <c r="I41" s="311">
        <f t="shared" si="8"/>
        <v>0</v>
      </c>
      <c r="J41" s="378">
        <f>I41*VLOOKUP($B$9,'Base Costs'!$A$32:$B$37,2,FALSE)</f>
        <v>0</v>
      </c>
      <c r="K41" s="379">
        <f t="shared" si="9"/>
        <v>0</v>
      </c>
    </row>
    <row r="42" spans="2:11" ht="16" x14ac:dyDescent="0.15">
      <c r="B42" s="928" t="s">
        <v>818</v>
      </c>
      <c r="C42" s="295"/>
      <c r="D42" s="310" t="s">
        <v>437</v>
      </c>
      <c r="E42" s="290"/>
      <c r="F42" s="380">
        <v>150</v>
      </c>
      <c r="G42" s="378">
        <f t="shared" si="1"/>
        <v>0</v>
      </c>
      <c r="H42" s="381">
        <v>0.37</v>
      </c>
      <c r="I42" s="311">
        <f t="shared" si="8"/>
        <v>0</v>
      </c>
      <c r="J42" s="378">
        <f>I42*VLOOKUP($B$9,'Base Costs'!$A$32:$B$37,2,FALSE)</f>
        <v>0</v>
      </c>
      <c r="K42" s="379">
        <f t="shared" si="9"/>
        <v>0</v>
      </c>
    </row>
    <row r="43" spans="2:11" x14ac:dyDescent="0.15">
      <c r="B43" s="134"/>
      <c r="D43" s="134" t="s">
        <v>437</v>
      </c>
      <c r="F43" s="293"/>
      <c r="G43" s="291"/>
      <c r="H43" s="65"/>
      <c r="I43" s="147"/>
      <c r="J43" s="147"/>
      <c r="K43" s="148"/>
    </row>
    <row r="44" spans="2:11" ht="16" x14ac:dyDescent="0.15">
      <c r="B44" s="57" t="s">
        <v>110</v>
      </c>
      <c r="C44" s="86"/>
      <c r="D44" s="149" t="s">
        <v>230</v>
      </c>
      <c r="E44" s="60"/>
      <c r="F44" s="292"/>
      <c r="G44" s="61">
        <f>SUBTOTAL(9,G45:G51)</f>
        <v>0</v>
      </c>
      <c r="H44" s="39" t="str">
        <f>IF(G44=0,"-",K44/I44)</f>
        <v>-</v>
      </c>
      <c r="I44" s="61">
        <f t="shared" ref="I44" si="10">SUBTOTAL(9,I45:I51)</f>
        <v>0</v>
      </c>
      <c r="J44" s="465">
        <f>SUBTOTAL(9,J45:J51)</f>
        <v>0</v>
      </c>
      <c r="K44" s="61">
        <f>SUBTOTAL(9,K45:K51)</f>
        <v>0</v>
      </c>
    </row>
    <row r="45" spans="2:11" ht="16" x14ac:dyDescent="0.15">
      <c r="B45" s="269" t="s">
        <v>229</v>
      </c>
      <c r="C45" s="295"/>
      <c r="D45" s="310" t="s">
        <v>457</v>
      </c>
      <c r="E45" s="290"/>
      <c r="F45" s="380">
        <f>'Base Costs'!AM59</f>
        <v>387.96000000000004</v>
      </c>
      <c r="G45" s="378">
        <f t="shared" si="1"/>
        <v>0</v>
      </c>
      <c r="H45" s="381">
        <v>0.37</v>
      </c>
      <c r="I45" s="311">
        <f t="shared" ref="I45:I51" si="11">G45/(1-H45)*(1+$C$9)</f>
        <v>0</v>
      </c>
      <c r="J45" s="378">
        <f>I45*VLOOKUP($B$9,'Base Costs'!$A$32:$B$37,2,FALSE)</f>
        <v>0</v>
      </c>
      <c r="K45" s="379">
        <f t="shared" ref="K45:K51" si="12">I45-G45</f>
        <v>0</v>
      </c>
    </row>
    <row r="46" spans="2:11" ht="16" x14ac:dyDescent="0.15">
      <c r="B46" s="269" t="s">
        <v>229</v>
      </c>
      <c r="C46" s="295"/>
      <c r="D46" s="310" t="s">
        <v>458</v>
      </c>
      <c r="E46" s="290"/>
      <c r="F46" s="380">
        <f>'Base Costs'!AM60</f>
        <v>398.56</v>
      </c>
      <c r="G46" s="378">
        <f t="shared" si="1"/>
        <v>0</v>
      </c>
      <c r="H46" s="381">
        <v>0.37</v>
      </c>
      <c r="I46" s="311">
        <f t="shared" si="11"/>
        <v>0</v>
      </c>
      <c r="J46" s="378">
        <f>I46*VLOOKUP($B$9,'Base Costs'!$A$32:$B$37,2,FALSE)</f>
        <v>0</v>
      </c>
      <c r="K46" s="379">
        <f t="shared" si="12"/>
        <v>0</v>
      </c>
    </row>
    <row r="47" spans="2:11" ht="16" x14ac:dyDescent="0.15">
      <c r="B47" s="269" t="s">
        <v>229</v>
      </c>
      <c r="C47" s="295"/>
      <c r="D47" s="310" t="s">
        <v>459</v>
      </c>
      <c r="E47" s="290"/>
      <c r="F47" s="380">
        <f>'Base Costs'!AM61</f>
        <v>412.34000000000003</v>
      </c>
      <c r="G47" s="378">
        <f t="shared" si="1"/>
        <v>0</v>
      </c>
      <c r="H47" s="381">
        <v>0.37</v>
      </c>
      <c r="I47" s="311">
        <f t="shared" si="11"/>
        <v>0</v>
      </c>
      <c r="J47" s="378">
        <f>I47*VLOOKUP($B$9,'Base Costs'!$A$32:$B$37,2,FALSE)</f>
        <v>0</v>
      </c>
      <c r="K47" s="379">
        <f t="shared" si="12"/>
        <v>0</v>
      </c>
    </row>
    <row r="48" spans="2:11" ht="16" x14ac:dyDescent="0.15">
      <c r="B48" s="269" t="s">
        <v>229</v>
      </c>
      <c r="C48" s="295"/>
      <c r="D48" s="310" t="s">
        <v>460</v>
      </c>
      <c r="E48" s="290"/>
      <c r="F48" s="380">
        <f>'Base Costs'!AM62</f>
        <v>481.24</v>
      </c>
      <c r="G48" s="378">
        <f t="shared" si="1"/>
        <v>0</v>
      </c>
      <c r="H48" s="381">
        <v>0.37</v>
      </c>
      <c r="I48" s="311">
        <f t="shared" si="11"/>
        <v>0</v>
      </c>
      <c r="J48" s="378">
        <f>I48*VLOOKUP($B$9,'Base Costs'!$A$32:$B$37,2,FALSE)</f>
        <v>0</v>
      </c>
      <c r="K48" s="379">
        <f t="shared" si="12"/>
        <v>0</v>
      </c>
    </row>
    <row r="49" spans="2:11" ht="16" x14ac:dyDescent="0.15">
      <c r="B49" s="269" t="s">
        <v>229</v>
      </c>
      <c r="C49" s="295"/>
      <c r="D49" s="310" t="s">
        <v>461</v>
      </c>
      <c r="E49" s="290"/>
      <c r="F49" s="380">
        <f>'Base Costs'!AM63</f>
        <v>517.28</v>
      </c>
      <c r="G49" s="378">
        <f t="shared" si="1"/>
        <v>0</v>
      </c>
      <c r="H49" s="381">
        <v>0.37</v>
      </c>
      <c r="I49" s="311">
        <f t="shared" si="11"/>
        <v>0</v>
      </c>
      <c r="J49" s="378">
        <f>I49*VLOOKUP($B$9,'Base Costs'!$A$32:$B$37,2,FALSE)</f>
        <v>0</v>
      </c>
      <c r="K49" s="379">
        <f t="shared" si="12"/>
        <v>0</v>
      </c>
    </row>
    <row r="50" spans="2:11" ht="16" x14ac:dyDescent="0.15">
      <c r="B50" s="269" t="s">
        <v>229</v>
      </c>
      <c r="C50" s="295"/>
      <c r="D50" s="310" t="s">
        <v>462</v>
      </c>
      <c r="E50" s="290"/>
      <c r="F50" s="380">
        <f>'Base Costs'!AM64</f>
        <v>570.28</v>
      </c>
      <c r="G50" s="378">
        <f t="shared" si="1"/>
        <v>0</v>
      </c>
      <c r="H50" s="381">
        <v>0.37</v>
      </c>
      <c r="I50" s="311">
        <f t="shared" si="11"/>
        <v>0</v>
      </c>
      <c r="J50" s="378">
        <f>I50*VLOOKUP($B$9,'Base Costs'!$A$32:$B$37,2,FALSE)</f>
        <v>0</v>
      </c>
      <c r="K50" s="379">
        <f t="shared" si="12"/>
        <v>0</v>
      </c>
    </row>
    <row r="51" spans="2:11" ht="16" x14ac:dyDescent="0.15">
      <c r="B51" s="269" t="s">
        <v>229</v>
      </c>
      <c r="C51" s="295"/>
      <c r="D51" s="310" t="s">
        <v>462</v>
      </c>
      <c r="E51" s="290"/>
      <c r="F51" s="380">
        <f>'Base Costs'!AM65</f>
        <v>602.08000000000004</v>
      </c>
      <c r="G51" s="378">
        <f t="shared" si="1"/>
        <v>0</v>
      </c>
      <c r="H51" s="381">
        <v>0.37</v>
      </c>
      <c r="I51" s="311">
        <f t="shared" si="11"/>
        <v>0</v>
      </c>
      <c r="J51" s="378">
        <f>I51*VLOOKUP($B$9,'Base Costs'!$A$32:$B$37,2,FALSE)</f>
        <v>0</v>
      </c>
      <c r="K51" s="379">
        <f t="shared" si="12"/>
        <v>0</v>
      </c>
    </row>
    <row r="52" spans="2:11" x14ac:dyDescent="0.15">
      <c r="B52" s="142"/>
      <c r="C52" s="137"/>
      <c r="D52" s="142"/>
      <c r="F52" s="294"/>
      <c r="G52" s="291"/>
      <c r="H52" s="65"/>
      <c r="I52" s="147"/>
      <c r="J52" s="147"/>
      <c r="K52" s="148"/>
    </row>
    <row r="53" spans="2:11" x14ac:dyDescent="0.15">
      <c r="B53" s="149" t="s">
        <v>48</v>
      </c>
      <c r="C53" s="86"/>
      <c r="D53" s="57"/>
      <c r="E53" s="60"/>
      <c r="F53" s="86"/>
      <c r="G53" s="154">
        <f>SUBTOTAL(9,G54:G60)</f>
        <v>1208</v>
      </c>
      <c r="H53" s="313">
        <f>IF(G53=0,"-",K53/I53)</f>
        <v>0.33</v>
      </c>
      <c r="I53" s="154">
        <f t="shared" ref="I53:K53" si="13">SUBTOTAL(9,I54:I60)</f>
        <v>1802.9850746268658</v>
      </c>
      <c r="J53" s="466">
        <f>SUBTOTAL(9,J54:J60)</f>
        <v>1802.9850746268658</v>
      </c>
      <c r="K53" s="154">
        <f t="shared" si="13"/>
        <v>594.98507462686575</v>
      </c>
    </row>
    <row r="54" spans="2:11" ht="16" x14ac:dyDescent="0.15">
      <c r="B54" s="269" t="s">
        <v>49</v>
      </c>
      <c r="C54" s="295"/>
      <c r="D54" s="376" t="s">
        <v>45</v>
      </c>
      <c r="E54" s="290"/>
      <c r="F54" s="380">
        <f>VLOOKUP(D54,'Base Costs'!E4:G213,2,FALSE)</f>
        <v>0</v>
      </c>
      <c r="G54" s="378">
        <f t="shared" si="1"/>
        <v>0</v>
      </c>
      <c r="H54" s="381">
        <v>0.33</v>
      </c>
      <c r="I54" s="311">
        <f t="shared" ref="I54:I60" si="14">G54/(1-H54)*(1+$C$9)</f>
        <v>0</v>
      </c>
      <c r="J54" s="378">
        <f>I54*VLOOKUP($B$9,'Base Costs'!$A$32:$B$37,2,FALSE)</f>
        <v>0</v>
      </c>
      <c r="K54" s="379">
        <f t="shared" ref="K54:K60" si="15">I54-G54</f>
        <v>0</v>
      </c>
    </row>
    <row r="55" spans="2:11" ht="16" x14ac:dyDescent="0.15">
      <c r="B55" s="269" t="s">
        <v>112</v>
      </c>
      <c r="C55" s="295"/>
      <c r="D55" s="310" t="s">
        <v>238</v>
      </c>
      <c r="E55" s="290"/>
      <c r="F55" s="380">
        <f>'Base Costs'!AM69</f>
        <v>127.2</v>
      </c>
      <c r="G55" s="378">
        <f t="shared" si="1"/>
        <v>0</v>
      </c>
      <c r="H55" s="381">
        <v>0.33</v>
      </c>
      <c r="I55" s="311">
        <f t="shared" si="14"/>
        <v>0</v>
      </c>
      <c r="J55" s="378">
        <f>I55*VLOOKUP($B$9,'Base Costs'!$A$32:$B$37,2,FALSE)</f>
        <v>0</v>
      </c>
      <c r="K55" s="379">
        <f t="shared" si="15"/>
        <v>0</v>
      </c>
    </row>
    <row r="56" spans="2:11" ht="16" x14ac:dyDescent="0.15">
      <c r="B56" s="269" t="s">
        <v>111</v>
      </c>
      <c r="C56" s="295"/>
      <c r="D56" s="310" t="s">
        <v>239</v>
      </c>
      <c r="E56" s="290"/>
      <c r="F56" s="380">
        <f>'Base Costs'!AM70</f>
        <v>127.2</v>
      </c>
      <c r="G56" s="378">
        <f t="shared" si="1"/>
        <v>0</v>
      </c>
      <c r="H56" s="381">
        <v>0.33</v>
      </c>
      <c r="I56" s="311">
        <f t="shared" si="14"/>
        <v>0</v>
      </c>
      <c r="J56" s="378">
        <f>I56*VLOOKUP($B$9,'Base Costs'!$A$32:$B$37,2,FALSE)</f>
        <v>0</v>
      </c>
      <c r="K56" s="379">
        <f t="shared" si="15"/>
        <v>0</v>
      </c>
    </row>
    <row r="57" spans="2:11" ht="16" x14ac:dyDescent="0.15">
      <c r="B57" s="269" t="s">
        <v>113</v>
      </c>
      <c r="C57" s="295"/>
      <c r="D57" s="310" t="s">
        <v>240</v>
      </c>
      <c r="E57" s="290"/>
      <c r="F57" s="380">
        <v>610</v>
      </c>
      <c r="G57" s="378">
        <f t="shared" si="1"/>
        <v>0</v>
      </c>
      <c r="H57" s="381">
        <v>0.4</v>
      </c>
      <c r="I57" s="311">
        <f t="shared" si="14"/>
        <v>0</v>
      </c>
      <c r="J57" s="378">
        <f>I57*VLOOKUP($B$9,'Base Costs'!$A$32:$B$37,2,FALSE)</f>
        <v>0</v>
      </c>
      <c r="K57" s="379">
        <f t="shared" si="15"/>
        <v>0</v>
      </c>
    </row>
    <row r="58" spans="2:11" ht="16" x14ac:dyDescent="0.15">
      <c r="B58" s="269" t="s">
        <v>13</v>
      </c>
      <c r="C58" s="295"/>
      <c r="D58" s="310" t="s">
        <v>241</v>
      </c>
      <c r="E58" s="290"/>
      <c r="F58" s="380">
        <f>'Base Costs'!AM72</f>
        <v>127.2</v>
      </c>
      <c r="G58" s="378">
        <f t="shared" si="1"/>
        <v>0</v>
      </c>
      <c r="H58" s="381">
        <v>0.33</v>
      </c>
      <c r="I58" s="311">
        <f t="shared" si="14"/>
        <v>0</v>
      </c>
      <c r="J58" s="378">
        <f>I58*VLOOKUP($B$9,'Base Costs'!$A$32:$B$37,2,FALSE)</f>
        <v>0</v>
      </c>
      <c r="K58" s="379">
        <f t="shared" si="15"/>
        <v>0</v>
      </c>
    </row>
    <row r="59" spans="2:11" ht="16" x14ac:dyDescent="0.15">
      <c r="B59" s="970" t="s">
        <v>1407</v>
      </c>
      <c r="C59" s="295">
        <v>1</v>
      </c>
      <c r="D59" s="310" t="s">
        <v>240</v>
      </c>
      <c r="E59" s="290"/>
      <c r="F59" s="380">
        <v>604</v>
      </c>
      <c r="G59" s="378">
        <f t="shared" si="1"/>
        <v>604</v>
      </c>
      <c r="H59" s="381">
        <v>0.33</v>
      </c>
      <c r="I59" s="311">
        <f t="shared" si="14"/>
        <v>901.49253731343288</v>
      </c>
      <c r="J59" s="378">
        <f>I59*VLOOKUP($B$9,'Base Costs'!$A$32:$B$37,2,FALSE)</f>
        <v>901.49253731343288</v>
      </c>
      <c r="K59" s="379">
        <f t="shared" si="15"/>
        <v>297.49253731343288</v>
      </c>
    </row>
    <row r="60" spans="2:11" ht="16" x14ac:dyDescent="0.15">
      <c r="B60" s="269" t="s">
        <v>1404</v>
      </c>
      <c r="C60" s="295">
        <v>1</v>
      </c>
      <c r="D60" s="310" t="s">
        <v>242</v>
      </c>
      <c r="E60" s="290"/>
      <c r="F60" s="380">
        <v>604</v>
      </c>
      <c r="G60" s="378">
        <f t="shared" si="1"/>
        <v>604</v>
      </c>
      <c r="H60" s="381">
        <v>0.33</v>
      </c>
      <c r="I60" s="311">
        <f t="shared" si="14"/>
        <v>901.49253731343288</v>
      </c>
      <c r="J60" s="378">
        <f>I60*VLOOKUP($B$9,'Base Costs'!$A$32:$B$37,2,FALSE)</f>
        <v>901.49253731343288</v>
      </c>
      <c r="K60" s="379">
        <f t="shared" si="15"/>
        <v>297.49253731343288</v>
      </c>
    </row>
    <row r="61" spans="2:11" x14ac:dyDescent="0.15">
      <c r="B61" s="137"/>
      <c r="C61" s="137"/>
      <c r="D61" s="142"/>
      <c r="F61" s="146"/>
      <c r="G61" s="146"/>
      <c r="H61" s="150"/>
      <c r="I61" s="146"/>
      <c r="J61" s="146"/>
    </row>
    <row r="62" spans="2:11" x14ac:dyDescent="0.2">
      <c r="B62" s="197" t="s">
        <v>121</v>
      </c>
      <c r="C62" s="198"/>
      <c r="D62" s="199"/>
      <c r="E62" s="199"/>
      <c r="F62" s="198"/>
      <c r="G62" s="200"/>
      <c r="H62" s="198"/>
      <c r="I62" s="198"/>
      <c r="J62" s="198"/>
      <c r="K62" s="198"/>
    </row>
    <row r="63" spans="2:11" x14ac:dyDescent="0.2">
      <c r="B63" s="202"/>
      <c r="C63" s="203"/>
      <c r="D63" s="202"/>
      <c r="E63" s="204"/>
      <c r="F63" s="202"/>
      <c r="G63" s="209"/>
      <c r="H63" s="203"/>
      <c r="I63" s="203"/>
      <c r="J63" s="203"/>
      <c r="K63" s="205"/>
    </row>
    <row r="64" spans="2:11" x14ac:dyDescent="0.2">
      <c r="B64" s="202"/>
      <c r="C64" s="203"/>
      <c r="D64" s="202"/>
      <c r="E64" s="204"/>
      <c r="F64" s="202"/>
      <c r="G64" s="209"/>
      <c r="H64" s="203"/>
      <c r="I64" s="203"/>
      <c r="J64" s="203"/>
      <c r="K64" s="205"/>
    </row>
    <row r="65" spans="2:13" x14ac:dyDescent="0.2">
      <c r="B65" s="202"/>
      <c r="C65" s="203"/>
      <c r="D65" s="202"/>
      <c r="E65" s="204"/>
      <c r="F65" s="202"/>
      <c r="G65" s="209"/>
      <c r="H65" s="203"/>
      <c r="I65" s="203"/>
      <c r="J65" s="203"/>
      <c r="K65" s="209"/>
    </row>
    <row r="66" spans="2:13" x14ac:dyDescent="0.2">
      <c r="B66" s="202"/>
      <c r="C66" s="203"/>
      <c r="D66" s="202"/>
      <c r="E66" s="204"/>
      <c r="F66" s="202"/>
      <c r="G66" s="209"/>
      <c r="H66" s="206"/>
      <c r="I66" s="203"/>
      <c r="J66" s="203"/>
      <c r="K66" s="209"/>
    </row>
    <row r="67" spans="2:13" x14ac:dyDescent="0.2">
      <c r="B67" s="202"/>
      <c r="C67" s="203"/>
      <c r="D67" s="202"/>
      <c r="E67" s="202"/>
      <c r="F67" s="202"/>
      <c r="G67" s="207"/>
      <c r="H67" s="209"/>
      <c r="I67" s="203"/>
      <c r="J67" s="203"/>
      <c r="K67" s="205"/>
      <c r="L67" s="126"/>
      <c r="M67" s="126"/>
    </row>
    <row r="68" spans="2:13" x14ac:dyDescent="0.2">
      <c r="B68" s="202"/>
      <c r="C68" s="202"/>
      <c r="D68" s="202"/>
      <c r="E68" s="202"/>
      <c r="F68" s="202"/>
      <c r="G68" s="207"/>
      <c r="H68" s="209"/>
      <c r="I68" s="203"/>
      <c r="J68" s="203"/>
      <c r="K68" s="205"/>
      <c r="L68" s="126"/>
      <c r="M68" s="126"/>
    </row>
    <row r="69" spans="2:13" x14ac:dyDescent="0.15">
      <c r="D69" s="140"/>
      <c r="F69" s="126"/>
      <c r="G69" s="126"/>
      <c r="I69" s="126"/>
      <c r="J69" s="126"/>
      <c r="K69" s="126"/>
      <c r="L69" s="126"/>
      <c r="M69" s="126"/>
    </row>
    <row r="70" spans="2:13" x14ac:dyDescent="0.15">
      <c r="D70" s="140"/>
      <c r="F70" s="126"/>
      <c r="G70" s="126"/>
      <c r="I70" s="126"/>
      <c r="J70" s="126"/>
      <c r="K70" s="126"/>
      <c r="L70" s="126"/>
      <c r="M70" s="126"/>
    </row>
    <row r="71" spans="2:13" x14ac:dyDescent="0.15">
      <c r="D71" s="140"/>
      <c r="F71" s="126"/>
      <c r="G71" s="126"/>
      <c r="I71" s="126"/>
      <c r="J71" s="126"/>
      <c r="K71" s="126"/>
      <c r="L71" s="126"/>
      <c r="M71" s="126"/>
    </row>
    <row r="72" spans="2:13" x14ac:dyDescent="0.15">
      <c r="D72" s="140"/>
      <c r="F72" s="126"/>
      <c r="G72" s="126"/>
      <c r="I72" s="126"/>
      <c r="J72" s="126"/>
      <c r="K72" s="126"/>
      <c r="L72" s="126"/>
      <c r="M72" s="126"/>
    </row>
    <row r="73" spans="2:13" x14ac:dyDescent="0.15">
      <c r="D73" s="140"/>
      <c r="F73" s="126"/>
      <c r="G73" s="126"/>
      <c r="I73" s="126"/>
      <c r="J73" s="126"/>
      <c r="K73" s="126"/>
      <c r="L73" s="126"/>
      <c r="M73" s="126"/>
    </row>
    <row r="74" spans="2:13" x14ac:dyDescent="0.15">
      <c r="D74" s="140"/>
      <c r="F74" s="126"/>
      <c r="G74" s="126"/>
      <c r="I74" s="126"/>
      <c r="J74" s="126"/>
      <c r="K74" s="126"/>
      <c r="L74" s="126"/>
      <c r="M74" s="126"/>
    </row>
    <row r="75" spans="2:13" x14ac:dyDescent="0.15">
      <c r="D75" s="140"/>
      <c r="F75" s="126"/>
      <c r="G75" s="126"/>
      <c r="I75" s="126"/>
      <c r="J75" s="126"/>
      <c r="K75" s="126"/>
      <c r="L75" s="126"/>
      <c r="M75" s="126"/>
    </row>
    <row r="76" spans="2:13" x14ac:dyDescent="0.15">
      <c r="D76" s="140"/>
      <c r="F76" s="126"/>
      <c r="G76" s="126"/>
      <c r="I76" s="126"/>
      <c r="J76" s="126"/>
      <c r="K76" s="126"/>
      <c r="L76" s="126"/>
      <c r="M76" s="126"/>
    </row>
    <row r="77" spans="2:13" x14ac:dyDescent="0.15">
      <c r="D77" s="140"/>
      <c r="F77" s="126"/>
      <c r="G77" s="126"/>
      <c r="I77" s="126"/>
      <c r="J77" s="126"/>
      <c r="K77" s="126"/>
      <c r="L77" s="126"/>
      <c r="M77" s="126"/>
    </row>
    <row r="78" spans="2:13" x14ac:dyDescent="0.15">
      <c r="D78" s="140"/>
      <c r="F78" s="126"/>
      <c r="G78" s="126"/>
      <c r="I78" s="126"/>
      <c r="J78" s="126"/>
      <c r="K78" s="126"/>
      <c r="L78" s="126"/>
      <c r="M78" s="126"/>
    </row>
    <row r="79" spans="2:13" x14ac:dyDescent="0.15">
      <c r="D79" s="140"/>
      <c r="F79" s="126"/>
      <c r="G79" s="126"/>
      <c r="I79" s="126"/>
      <c r="J79" s="126"/>
      <c r="K79" s="126"/>
      <c r="L79" s="126"/>
      <c r="M79" s="126"/>
    </row>
    <row r="80" spans="2:13" x14ac:dyDescent="0.15">
      <c r="B80" s="152"/>
      <c r="C80" s="152"/>
      <c r="D80" s="153"/>
      <c r="F80" s="126"/>
      <c r="G80" s="126"/>
      <c r="I80" s="126"/>
      <c r="J80" s="126"/>
      <c r="K80" s="126"/>
      <c r="L80" s="126"/>
      <c r="M80" s="126"/>
    </row>
    <row r="81" spans="2:13" x14ac:dyDescent="0.15">
      <c r="B81" s="152"/>
      <c r="C81" s="152"/>
      <c r="D81" s="153"/>
      <c r="F81" s="126"/>
      <c r="G81" s="126"/>
      <c r="I81" s="126"/>
      <c r="J81" s="126"/>
      <c r="K81" s="126"/>
      <c r="L81" s="126"/>
      <c r="M81" s="126"/>
    </row>
    <row r="82" spans="2:13" x14ac:dyDescent="0.15">
      <c r="F82" s="126"/>
      <c r="G82" s="126"/>
      <c r="I82" s="126"/>
      <c r="J82" s="126"/>
      <c r="K82" s="126"/>
      <c r="L82" s="126"/>
      <c r="M82" s="126"/>
    </row>
    <row r="83" spans="2:13" x14ac:dyDescent="0.15">
      <c r="F83" s="126"/>
      <c r="G83" s="126"/>
      <c r="I83" s="126"/>
      <c r="J83" s="126"/>
      <c r="K83" s="126"/>
      <c r="L83" s="126"/>
      <c r="M83" s="126"/>
    </row>
    <row r="84" spans="2:13" x14ac:dyDescent="0.15">
      <c r="F84" s="126"/>
      <c r="G84" s="126"/>
      <c r="I84" s="126"/>
      <c r="J84" s="126"/>
      <c r="K84" s="126"/>
      <c r="L84" s="126"/>
      <c r="M84" s="126"/>
    </row>
    <row r="85" spans="2:13" x14ac:dyDescent="0.15">
      <c r="F85" s="126"/>
      <c r="G85" s="126"/>
      <c r="I85" s="126"/>
      <c r="J85" s="126"/>
      <c r="K85" s="126"/>
      <c r="L85" s="126"/>
      <c r="M85" s="126"/>
    </row>
    <row r="86" spans="2:13" x14ac:dyDescent="0.15">
      <c r="F86" s="126"/>
      <c r="G86" s="126"/>
      <c r="I86" s="126"/>
      <c r="J86" s="126"/>
      <c r="K86" s="126"/>
      <c r="L86" s="126"/>
      <c r="M86" s="126"/>
    </row>
    <row r="87" spans="2:13" x14ac:dyDescent="0.15">
      <c r="F87" s="126"/>
      <c r="G87" s="126"/>
      <c r="I87" s="126"/>
      <c r="J87" s="126"/>
      <c r="K87" s="126"/>
      <c r="L87" s="126"/>
      <c r="M87" s="126"/>
    </row>
    <row r="88" spans="2:13" x14ac:dyDescent="0.15">
      <c r="F88" s="126"/>
      <c r="G88" s="126"/>
      <c r="I88" s="126"/>
      <c r="J88" s="126"/>
      <c r="K88" s="126"/>
      <c r="L88" s="126"/>
      <c r="M88" s="126"/>
    </row>
    <row r="89" spans="2:13" x14ac:dyDescent="0.15">
      <c r="F89" s="126"/>
      <c r="G89" s="126"/>
      <c r="I89" s="126"/>
      <c r="J89" s="126"/>
      <c r="K89" s="126"/>
      <c r="L89" s="126"/>
      <c r="M89" s="126"/>
    </row>
    <row r="90" spans="2:13" x14ac:dyDescent="0.15">
      <c r="F90" s="126"/>
      <c r="G90" s="126"/>
      <c r="I90" s="126"/>
      <c r="J90" s="126"/>
      <c r="K90" s="126"/>
      <c r="L90" s="126"/>
      <c r="M90" s="126"/>
    </row>
    <row r="91" spans="2:13" x14ac:dyDescent="0.15">
      <c r="F91" s="126"/>
      <c r="G91" s="126"/>
      <c r="I91" s="126"/>
      <c r="J91" s="126"/>
      <c r="K91" s="126"/>
      <c r="L91" s="126"/>
      <c r="M91" s="126"/>
    </row>
    <row r="92" spans="2:13" x14ac:dyDescent="0.15">
      <c r="F92" s="126"/>
      <c r="G92" s="126"/>
      <c r="I92" s="126"/>
      <c r="J92" s="126"/>
      <c r="K92" s="126"/>
      <c r="L92" s="126"/>
      <c r="M92" s="126"/>
    </row>
    <row r="93" spans="2:13" x14ac:dyDescent="0.15">
      <c r="F93" s="126"/>
      <c r="G93" s="126"/>
      <c r="I93" s="126"/>
      <c r="J93" s="126"/>
      <c r="K93" s="126"/>
      <c r="L93" s="126"/>
      <c r="M93" s="126"/>
    </row>
    <row r="94" spans="2:13" x14ac:dyDescent="0.15">
      <c r="F94" s="126"/>
      <c r="G94" s="126"/>
      <c r="I94" s="126"/>
      <c r="J94" s="126"/>
      <c r="K94" s="126"/>
      <c r="L94" s="126"/>
      <c r="M94" s="126"/>
    </row>
    <row r="95" spans="2:13" x14ac:dyDescent="0.15">
      <c r="F95" s="126"/>
      <c r="G95" s="126"/>
      <c r="I95" s="126"/>
      <c r="J95" s="126"/>
      <c r="K95" s="126"/>
      <c r="L95" s="126"/>
      <c r="M95" s="126"/>
    </row>
    <row r="96" spans="2:13" x14ac:dyDescent="0.15">
      <c r="F96" s="126"/>
      <c r="G96" s="126"/>
      <c r="I96" s="126"/>
      <c r="J96" s="126"/>
      <c r="K96" s="126"/>
      <c r="L96" s="126"/>
      <c r="M96" s="126"/>
    </row>
    <row r="97" spans="6:13" x14ac:dyDescent="0.15">
      <c r="F97" s="126"/>
      <c r="G97" s="126"/>
      <c r="I97" s="126"/>
      <c r="J97" s="126"/>
      <c r="K97" s="126"/>
      <c r="L97" s="126"/>
      <c r="M97" s="126"/>
    </row>
    <row r="98" spans="6:13" x14ac:dyDescent="0.15">
      <c r="F98" s="126"/>
      <c r="G98" s="126"/>
      <c r="I98" s="126"/>
      <c r="J98" s="126"/>
      <c r="K98" s="126"/>
      <c r="L98" s="126"/>
      <c r="M98" s="126"/>
    </row>
    <row r="99" spans="6:13" x14ac:dyDescent="0.15">
      <c r="F99" s="126"/>
      <c r="G99" s="126"/>
      <c r="I99" s="126"/>
      <c r="J99" s="126"/>
      <c r="K99" s="126"/>
      <c r="L99" s="126"/>
      <c r="M99" s="126"/>
    </row>
    <row r="100" spans="6:13" x14ac:dyDescent="0.15">
      <c r="F100" s="126"/>
      <c r="G100" s="126"/>
      <c r="I100" s="126"/>
      <c r="J100" s="126"/>
      <c r="K100" s="126"/>
      <c r="L100" s="126"/>
      <c r="M100" s="126"/>
    </row>
    <row r="101" spans="6:13" x14ac:dyDescent="0.15">
      <c r="F101" s="126"/>
      <c r="G101" s="126"/>
      <c r="I101" s="126"/>
      <c r="J101" s="126"/>
      <c r="K101" s="126"/>
      <c r="L101" s="126"/>
      <c r="M101" s="126"/>
    </row>
    <row r="102" spans="6:13" x14ac:dyDescent="0.15">
      <c r="F102" s="126"/>
      <c r="G102" s="126"/>
      <c r="I102" s="126"/>
      <c r="J102" s="126"/>
      <c r="K102" s="126"/>
      <c r="L102" s="126"/>
      <c r="M102" s="126"/>
    </row>
    <row r="103" spans="6:13" x14ac:dyDescent="0.15">
      <c r="F103" s="126"/>
      <c r="G103" s="126"/>
      <c r="I103" s="126"/>
      <c r="J103" s="126"/>
      <c r="K103" s="126"/>
      <c r="L103" s="126"/>
      <c r="M103" s="126"/>
    </row>
    <row r="104" spans="6:13" x14ac:dyDescent="0.15">
      <c r="F104" s="126"/>
      <c r="G104" s="126"/>
      <c r="I104" s="126"/>
      <c r="J104" s="126"/>
      <c r="K104" s="126"/>
      <c r="L104" s="126"/>
      <c r="M104" s="126"/>
    </row>
    <row r="105" spans="6:13" x14ac:dyDescent="0.15">
      <c r="F105" s="126"/>
      <c r="G105" s="126"/>
      <c r="I105" s="126"/>
      <c r="J105" s="126"/>
      <c r="K105" s="126"/>
      <c r="L105" s="126"/>
      <c r="M105" s="126"/>
    </row>
    <row r="106" spans="6:13" x14ac:dyDescent="0.15">
      <c r="F106" s="126"/>
      <c r="G106" s="126"/>
      <c r="I106" s="126"/>
      <c r="J106" s="126"/>
      <c r="K106" s="126"/>
      <c r="L106" s="126"/>
      <c r="M106" s="126"/>
    </row>
    <row r="107" spans="6:13" x14ac:dyDescent="0.15">
      <c r="F107" s="126"/>
      <c r="G107" s="126"/>
      <c r="I107" s="126"/>
      <c r="J107" s="126"/>
      <c r="K107" s="126"/>
      <c r="L107" s="126"/>
      <c r="M107" s="126"/>
    </row>
    <row r="108" spans="6:13" x14ac:dyDescent="0.15">
      <c r="F108" s="126"/>
      <c r="G108" s="126"/>
      <c r="I108" s="126"/>
      <c r="J108" s="126"/>
      <c r="K108" s="126"/>
      <c r="L108" s="126"/>
      <c r="M108" s="126"/>
    </row>
    <row r="109" spans="6:13" x14ac:dyDescent="0.15">
      <c r="F109" s="126"/>
      <c r="G109" s="126"/>
      <c r="I109" s="126"/>
      <c r="J109" s="126"/>
      <c r="K109" s="126"/>
      <c r="L109" s="126"/>
      <c r="M109" s="126"/>
    </row>
    <row r="110" spans="6:13" x14ac:dyDescent="0.15">
      <c r="F110" s="126"/>
      <c r="G110" s="126"/>
      <c r="I110" s="126"/>
      <c r="J110" s="126"/>
      <c r="K110" s="126"/>
      <c r="L110" s="126"/>
      <c r="M110" s="126"/>
    </row>
    <row r="111" spans="6:13" x14ac:dyDescent="0.15">
      <c r="F111" s="126"/>
      <c r="G111" s="126"/>
      <c r="I111" s="126"/>
      <c r="J111" s="126"/>
      <c r="K111" s="126"/>
      <c r="L111" s="126"/>
      <c r="M111" s="126"/>
    </row>
    <row r="112" spans="6:13" x14ac:dyDescent="0.15">
      <c r="F112" s="126"/>
      <c r="G112" s="126"/>
      <c r="I112" s="126"/>
      <c r="J112" s="126"/>
      <c r="K112" s="126"/>
      <c r="L112" s="126"/>
      <c r="M112" s="126"/>
    </row>
    <row r="113" spans="6:13" x14ac:dyDescent="0.15">
      <c r="F113" s="126"/>
      <c r="G113" s="126"/>
      <c r="I113" s="126"/>
      <c r="J113" s="126"/>
      <c r="K113" s="126"/>
      <c r="L113" s="126"/>
      <c r="M113" s="126"/>
    </row>
    <row r="114" spans="6:13" x14ac:dyDescent="0.15">
      <c r="F114" s="126"/>
      <c r="G114" s="126"/>
      <c r="I114" s="126"/>
      <c r="J114" s="126"/>
      <c r="K114" s="126"/>
      <c r="L114" s="126"/>
      <c r="M114" s="126"/>
    </row>
    <row r="115" spans="6:13" x14ac:dyDescent="0.15">
      <c r="F115" s="126"/>
      <c r="G115" s="126"/>
      <c r="I115" s="126"/>
      <c r="J115" s="126"/>
      <c r="K115" s="126"/>
      <c r="L115" s="126"/>
      <c r="M115" s="126"/>
    </row>
    <row r="116" spans="6:13" x14ac:dyDescent="0.15">
      <c r="F116" s="126"/>
      <c r="G116" s="126"/>
      <c r="I116" s="126"/>
      <c r="J116" s="126"/>
      <c r="K116" s="126"/>
      <c r="L116" s="126"/>
      <c r="M116" s="126"/>
    </row>
    <row r="117" spans="6:13" x14ac:dyDescent="0.15">
      <c r="F117" s="126"/>
      <c r="G117" s="126"/>
      <c r="I117" s="126"/>
      <c r="J117" s="126"/>
      <c r="K117" s="126"/>
      <c r="L117" s="126"/>
      <c r="M117" s="126"/>
    </row>
    <row r="118" spans="6:13" x14ac:dyDescent="0.15">
      <c r="F118" s="126"/>
      <c r="G118" s="126"/>
      <c r="I118" s="126"/>
      <c r="J118" s="126"/>
      <c r="K118" s="126"/>
      <c r="L118" s="126"/>
      <c r="M118" s="126"/>
    </row>
    <row r="119" spans="6:13" x14ac:dyDescent="0.15">
      <c r="F119" s="126"/>
      <c r="G119" s="126"/>
      <c r="I119" s="126"/>
      <c r="J119" s="126"/>
      <c r="K119" s="126"/>
      <c r="L119" s="126"/>
      <c r="M119" s="126"/>
    </row>
    <row r="120" spans="6:13" x14ac:dyDescent="0.15">
      <c r="F120" s="126"/>
      <c r="G120" s="126"/>
      <c r="I120" s="126"/>
      <c r="J120" s="126"/>
      <c r="K120" s="126"/>
      <c r="L120" s="126"/>
      <c r="M120" s="126"/>
    </row>
    <row r="121" spans="6:13" x14ac:dyDescent="0.15">
      <c r="F121" s="126"/>
      <c r="G121" s="126"/>
      <c r="I121" s="126"/>
      <c r="J121" s="126"/>
      <c r="K121" s="126"/>
      <c r="L121" s="126"/>
      <c r="M121" s="126"/>
    </row>
    <row r="122" spans="6:13" x14ac:dyDescent="0.15">
      <c r="F122" s="126"/>
      <c r="G122" s="126"/>
      <c r="I122" s="126"/>
      <c r="J122" s="126"/>
      <c r="K122" s="126"/>
      <c r="L122" s="126"/>
      <c r="M122" s="126"/>
    </row>
    <row r="123" spans="6:13" x14ac:dyDescent="0.15">
      <c r="F123" s="126"/>
      <c r="G123" s="126"/>
      <c r="I123" s="126"/>
      <c r="J123" s="126"/>
      <c r="K123" s="126"/>
      <c r="L123" s="126"/>
      <c r="M123" s="126"/>
    </row>
    <row r="124" spans="6:13" x14ac:dyDescent="0.15">
      <c r="F124" s="126"/>
      <c r="G124" s="126"/>
      <c r="I124" s="126"/>
      <c r="J124" s="126"/>
      <c r="K124" s="126"/>
      <c r="L124" s="126"/>
      <c r="M124" s="126"/>
    </row>
    <row r="125" spans="6:13" x14ac:dyDescent="0.15">
      <c r="F125" s="126"/>
      <c r="G125" s="126"/>
      <c r="I125" s="126"/>
      <c r="J125" s="126"/>
      <c r="K125" s="126"/>
      <c r="L125" s="126"/>
      <c r="M125" s="126"/>
    </row>
    <row r="126" spans="6:13" x14ac:dyDescent="0.15">
      <c r="F126" s="126"/>
      <c r="G126" s="126"/>
      <c r="I126" s="126"/>
      <c r="J126" s="126"/>
      <c r="K126" s="126"/>
      <c r="L126" s="126"/>
      <c r="M126" s="126"/>
    </row>
    <row r="127" spans="6:13" x14ac:dyDescent="0.15">
      <c r="F127" s="126"/>
      <c r="G127" s="126"/>
      <c r="I127" s="126"/>
      <c r="J127" s="126"/>
      <c r="K127" s="126"/>
      <c r="L127" s="126"/>
      <c r="M127" s="126"/>
    </row>
    <row r="128" spans="6:13" x14ac:dyDescent="0.15">
      <c r="F128" s="126"/>
      <c r="G128" s="126"/>
      <c r="I128" s="126"/>
      <c r="J128" s="126"/>
      <c r="K128" s="126"/>
      <c r="L128" s="126"/>
      <c r="M128" s="126"/>
    </row>
    <row r="129" spans="6:13" x14ac:dyDescent="0.15">
      <c r="F129" s="126"/>
      <c r="G129" s="126"/>
      <c r="I129" s="126"/>
      <c r="J129" s="126"/>
      <c r="K129" s="126"/>
      <c r="L129" s="126"/>
      <c r="M129" s="126"/>
    </row>
    <row r="130" spans="6:13" x14ac:dyDescent="0.15">
      <c r="F130" s="126"/>
      <c r="G130" s="126"/>
      <c r="I130" s="126"/>
      <c r="J130" s="126"/>
      <c r="K130" s="126"/>
      <c r="L130" s="126"/>
      <c r="M130" s="126"/>
    </row>
    <row r="131" spans="6:13" x14ac:dyDescent="0.15">
      <c r="F131" s="126"/>
      <c r="G131" s="126"/>
      <c r="I131" s="126"/>
      <c r="J131" s="126"/>
      <c r="K131" s="126"/>
      <c r="L131" s="126"/>
      <c r="M131" s="126"/>
    </row>
    <row r="132" spans="6:13" x14ac:dyDescent="0.15">
      <c r="F132" s="126"/>
      <c r="G132" s="126"/>
      <c r="I132" s="126"/>
      <c r="J132" s="126"/>
      <c r="K132" s="126"/>
      <c r="L132" s="126"/>
      <c r="M132" s="126"/>
    </row>
    <row r="133" spans="6:13" x14ac:dyDescent="0.15">
      <c r="F133" s="126"/>
      <c r="G133" s="126"/>
      <c r="I133" s="126"/>
      <c r="J133" s="126"/>
      <c r="K133" s="126"/>
      <c r="L133" s="126"/>
      <c r="M133" s="126"/>
    </row>
    <row r="134" spans="6:13" x14ac:dyDescent="0.15">
      <c r="F134" s="126"/>
      <c r="G134" s="126"/>
      <c r="I134" s="126"/>
      <c r="J134" s="126"/>
      <c r="K134" s="126"/>
      <c r="L134" s="126"/>
      <c r="M134" s="126"/>
    </row>
    <row r="135" spans="6:13" x14ac:dyDescent="0.15">
      <c r="F135" s="126"/>
      <c r="G135" s="126"/>
      <c r="I135" s="126"/>
      <c r="J135" s="126"/>
      <c r="K135" s="126"/>
      <c r="L135" s="126"/>
      <c r="M135" s="126"/>
    </row>
    <row r="136" spans="6:13" x14ac:dyDescent="0.15">
      <c r="F136" s="126"/>
      <c r="G136" s="126"/>
      <c r="I136" s="126"/>
      <c r="J136" s="126"/>
      <c r="K136" s="126"/>
      <c r="L136" s="126"/>
      <c r="M136" s="126"/>
    </row>
    <row r="137" spans="6:13" x14ac:dyDescent="0.15">
      <c r="F137" s="126"/>
      <c r="G137" s="126"/>
      <c r="I137" s="126"/>
      <c r="J137" s="126"/>
      <c r="K137" s="126"/>
      <c r="L137" s="126"/>
      <c r="M137" s="126"/>
    </row>
    <row r="138" spans="6:13" x14ac:dyDescent="0.15">
      <c r="F138" s="126"/>
      <c r="G138" s="126"/>
      <c r="I138" s="126"/>
      <c r="J138" s="126"/>
      <c r="K138" s="126"/>
      <c r="L138" s="126"/>
      <c r="M138" s="126"/>
    </row>
    <row r="139" spans="6:13" x14ac:dyDescent="0.15">
      <c r="F139" s="126"/>
      <c r="G139" s="126"/>
      <c r="I139" s="126"/>
      <c r="J139" s="126"/>
      <c r="K139" s="126"/>
      <c r="L139" s="126"/>
      <c r="M139" s="126"/>
    </row>
    <row r="140" spans="6:13" x14ac:dyDescent="0.15">
      <c r="F140" s="126"/>
      <c r="G140" s="126"/>
      <c r="I140" s="126"/>
      <c r="J140" s="126"/>
      <c r="K140" s="126"/>
      <c r="L140" s="126"/>
      <c r="M140" s="126"/>
    </row>
    <row r="141" spans="6:13" x14ac:dyDescent="0.15">
      <c r="F141" s="126"/>
      <c r="G141" s="126"/>
      <c r="I141" s="126"/>
      <c r="J141" s="126"/>
      <c r="K141" s="126"/>
      <c r="L141" s="126"/>
      <c r="M141" s="126"/>
    </row>
    <row r="142" spans="6:13" x14ac:dyDescent="0.15">
      <c r="F142" s="126"/>
      <c r="G142" s="126"/>
      <c r="I142" s="126"/>
      <c r="J142" s="126"/>
      <c r="K142" s="126"/>
      <c r="L142" s="126"/>
      <c r="M142" s="126"/>
    </row>
    <row r="143" spans="6:13" x14ac:dyDescent="0.15">
      <c r="F143" s="126"/>
      <c r="G143" s="126"/>
      <c r="I143" s="126"/>
      <c r="J143" s="126"/>
      <c r="K143" s="126"/>
      <c r="L143" s="126"/>
      <c r="M143" s="126"/>
    </row>
    <row r="144" spans="6:13" x14ac:dyDescent="0.15">
      <c r="F144" s="126"/>
      <c r="G144" s="126"/>
      <c r="I144" s="126"/>
      <c r="J144" s="126"/>
      <c r="K144" s="126"/>
      <c r="L144" s="126"/>
      <c r="M144" s="126"/>
    </row>
    <row r="145" spans="6:13" x14ac:dyDescent="0.15">
      <c r="F145" s="126"/>
      <c r="G145" s="126"/>
      <c r="I145" s="126"/>
      <c r="J145" s="126"/>
      <c r="K145" s="126"/>
      <c r="L145" s="126"/>
      <c r="M145" s="126"/>
    </row>
    <row r="146" spans="6:13" x14ac:dyDescent="0.15">
      <c r="F146" s="126"/>
      <c r="G146" s="126"/>
      <c r="I146" s="126"/>
      <c r="J146" s="126"/>
      <c r="K146" s="126"/>
      <c r="L146" s="126"/>
      <c r="M146" s="126"/>
    </row>
    <row r="147" spans="6:13" x14ac:dyDescent="0.15">
      <c r="F147" s="126"/>
      <c r="G147" s="126"/>
      <c r="I147" s="126"/>
      <c r="J147" s="126"/>
      <c r="K147" s="126"/>
      <c r="L147" s="126"/>
      <c r="M147" s="126"/>
    </row>
    <row r="148" spans="6:13" x14ac:dyDescent="0.15">
      <c r="F148" s="126"/>
      <c r="G148" s="126"/>
      <c r="I148" s="126"/>
      <c r="J148" s="126"/>
      <c r="K148" s="126"/>
      <c r="L148" s="126"/>
      <c r="M148" s="126"/>
    </row>
    <row r="149" spans="6:13" x14ac:dyDescent="0.15">
      <c r="F149" s="126"/>
      <c r="G149" s="126"/>
      <c r="I149" s="126"/>
      <c r="J149" s="126"/>
      <c r="K149" s="126"/>
      <c r="L149" s="126"/>
      <c r="M149" s="126"/>
    </row>
    <row r="150" spans="6:13" x14ac:dyDescent="0.15">
      <c r="F150" s="126"/>
      <c r="G150" s="126"/>
      <c r="I150" s="126"/>
      <c r="J150" s="126"/>
      <c r="K150" s="126"/>
      <c r="L150" s="126"/>
      <c r="M150" s="126"/>
    </row>
    <row r="151" spans="6:13" x14ac:dyDescent="0.15">
      <c r="F151" s="126"/>
      <c r="G151" s="126"/>
      <c r="I151" s="126"/>
      <c r="J151" s="126"/>
      <c r="K151" s="126"/>
      <c r="L151" s="126"/>
      <c r="M151" s="126"/>
    </row>
    <row r="152" spans="6:13" x14ac:dyDescent="0.15">
      <c r="F152" s="126"/>
      <c r="G152" s="126"/>
      <c r="I152" s="126"/>
      <c r="J152" s="126"/>
      <c r="K152" s="126"/>
      <c r="L152" s="126"/>
      <c r="M152" s="126"/>
    </row>
    <row r="153" spans="6:13" x14ac:dyDescent="0.15">
      <c r="F153" s="126"/>
      <c r="G153" s="126"/>
      <c r="I153" s="126"/>
      <c r="J153" s="126"/>
      <c r="K153" s="126"/>
      <c r="L153" s="126"/>
      <c r="M153" s="126"/>
    </row>
    <row r="154" spans="6:13" x14ac:dyDescent="0.15">
      <c r="F154" s="126"/>
      <c r="G154" s="126"/>
      <c r="I154" s="126"/>
      <c r="J154" s="126"/>
      <c r="K154" s="126"/>
      <c r="L154" s="126"/>
      <c r="M154" s="126"/>
    </row>
    <row r="155" spans="6:13" x14ac:dyDescent="0.15">
      <c r="F155" s="126"/>
      <c r="G155" s="126"/>
      <c r="I155" s="126"/>
      <c r="J155" s="126"/>
      <c r="K155" s="126"/>
      <c r="L155" s="126"/>
      <c r="M155" s="126"/>
    </row>
    <row r="156" spans="6:13" x14ac:dyDescent="0.15">
      <c r="F156" s="126"/>
      <c r="G156" s="126"/>
      <c r="I156" s="126"/>
      <c r="J156" s="126"/>
      <c r="K156" s="126"/>
      <c r="L156" s="126"/>
      <c r="M156" s="126"/>
    </row>
    <row r="157" spans="6:13" x14ac:dyDescent="0.15">
      <c r="F157" s="126"/>
      <c r="G157" s="126"/>
      <c r="I157" s="126"/>
      <c r="J157" s="126"/>
      <c r="K157" s="126"/>
      <c r="L157" s="126"/>
      <c r="M157" s="126"/>
    </row>
    <row r="158" spans="6:13" x14ac:dyDescent="0.15">
      <c r="F158" s="126"/>
      <c r="G158" s="126"/>
      <c r="I158" s="126"/>
      <c r="J158" s="126"/>
      <c r="K158" s="126"/>
      <c r="L158" s="126"/>
      <c r="M158" s="126"/>
    </row>
    <row r="159" spans="6:13" x14ac:dyDescent="0.15">
      <c r="F159" s="126"/>
      <c r="G159" s="126"/>
      <c r="I159" s="126"/>
      <c r="J159" s="126"/>
      <c r="K159" s="126"/>
      <c r="L159" s="126"/>
      <c r="M159" s="126"/>
    </row>
    <row r="160" spans="6:13" x14ac:dyDescent="0.15">
      <c r="F160" s="126"/>
      <c r="G160" s="126"/>
      <c r="I160" s="126"/>
      <c r="J160" s="126"/>
      <c r="K160" s="126"/>
      <c r="L160" s="126"/>
      <c r="M160" s="126"/>
    </row>
    <row r="161" spans="6:13" x14ac:dyDescent="0.15">
      <c r="F161" s="126"/>
      <c r="G161" s="126"/>
      <c r="I161" s="126"/>
      <c r="J161" s="126"/>
      <c r="K161" s="126"/>
      <c r="L161" s="126"/>
      <c r="M161" s="126"/>
    </row>
    <row r="162" spans="6:13" x14ac:dyDescent="0.15">
      <c r="F162" s="126"/>
      <c r="G162" s="126"/>
      <c r="I162" s="126"/>
      <c r="J162" s="126"/>
      <c r="K162" s="126"/>
      <c r="L162" s="126"/>
      <c r="M162" s="126"/>
    </row>
    <row r="163" spans="6:13" x14ac:dyDescent="0.15">
      <c r="F163" s="126"/>
      <c r="G163" s="126"/>
      <c r="I163" s="126"/>
      <c r="J163" s="126"/>
      <c r="K163" s="126"/>
      <c r="L163" s="126"/>
      <c r="M163" s="126"/>
    </row>
    <row r="164" spans="6:13" x14ac:dyDescent="0.15">
      <c r="F164" s="126"/>
      <c r="G164" s="126"/>
      <c r="I164" s="126"/>
      <c r="J164" s="126"/>
      <c r="K164" s="126"/>
      <c r="L164" s="126"/>
      <c r="M164" s="126"/>
    </row>
    <row r="165" spans="6:13" x14ac:dyDescent="0.15">
      <c r="F165" s="126"/>
      <c r="G165" s="126"/>
      <c r="I165" s="126"/>
      <c r="J165" s="126"/>
      <c r="K165" s="126"/>
      <c r="L165" s="126"/>
      <c r="M165" s="126"/>
    </row>
    <row r="166" spans="6:13" x14ac:dyDescent="0.15">
      <c r="F166" s="126"/>
      <c r="G166" s="126"/>
      <c r="I166" s="126"/>
      <c r="J166" s="126"/>
      <c r="K166" s="126"/>
      <c r="L166" s="126"/>
      <c r="M166" s="126"/>
    </row>
    <row r="167" spans="6:13" x14ac:dyDescent="0.15">
      <c r="F167" s="126"/>
      <c r="G167" s="126"/>
      <c r="I167" s="126"/>
      <c r="J167" s="126"/>
      <c r="K167" s="126"/>
      <c r="L167" s="126"/>
      <c r="M167" s="126"/>
    </row>
    <row r="168" spans="6:13" x14ac:dyDescent="0.15">
      <c r="F168" s="126"/>
      <c r="G168" s="126"/>
      <c r="I168" s="126"/>
      <c r="J168" s="126"/>
      <c r="K168" s="126"/>
      <c r="L168" s="126"/>
      <c r="M168" s="126"/>
    </row>
    <row r="169" spans="6:13" x14ac:dyDescent="0.15">
      <c r="F169" s="126"/>
      <c r="G169" s="126"/>
      <c r="I169" s="126"/>
      <c r="J169" s="126"/>
      <c r="K169" s="126"/>
      <c r="L169" s="126"/>
      <c r="M169" s="126"/>
    </row>
    <row r="170" spans="6:13" x14ac:dyDescent="0.15">
      <c r="F170" s="126"/>
      <c r="G170" s="126"/>
      <c r="I170" s="126"/>
      <c r="J170" s="126"/>
      <c r="K170" s="126"/>
      <c r="L170" s="126"/>
      <c r="M170" s="126"/>
    </row>
    <row r="171" spans="6:13" x14ac:dyDescent="0.15">
      <c r="F171" s="126"/>
      <c r="G171" s="126"/>
      <c r="I171" s="126"/>
      <c r="J171" s="126"/>
      <c r="K171" s="126"/>
      <c r="L171" s="126"/>
      <c r="M171" s="126"/>
    </row>
    <row r="172" spans="6:13" x14ac:dyDescent="0.15">
      <c r="F172" s="126"/>
      <c r="G172" s="126"/>
      <c r="I172" s="126"/>
      <c r="J172" s="126"/>
      <c r="K172" s="126"/>
      <c r="L172" s="126"/>
      <c r="M172" s="126"/>
    </row>
    <row r="173" spans="6:13" x14ac:dyDescent="0.15">
      <c r="F173" s="126"/>
      <c r="G173" s="126"/>
      <c r="I173" s="126"/>
      <c r="J173" s="126"/>
      <c r="K173" s="126"/>
      <c r="L173" s="126"/>
      <c r="M173" s="126"/>
    </row>
    <row r="174" spans="6:13" x14ac:dyDescent="0.15">
      <c r="F174" s="126"/>
      <c r="G174" s="126"/>
      <c r="I174" s="126"/>
      <c r="J174" s="126"/>
      <c r="K174" s="126"/>
      <c r="L174" s="126"/>
      <c r="M174" s="126"/>
    </row>
    <row r="175" spans="6:13" x14ac:dyDescent="0.15">
      <c r="F175" s="126"/>
      <c r="G175" s="126"/>
      <c r="I175" s="126"/>
      <c r="J175" s="126"/>
      <c r="K175" s="126"/>
      <c r="L175" s="126"/>
      <c r="M175" s="126"/>
    </row>
    <row r="176" spans="6:13" x14ac:dyDescent="0.15">
      <c r="F176" s="126"/>
      <c r="G176" s="126"/>
      <c r="I176" s="126"/>
      <c r="J176" s="126"/>
      <c r="K176" s="126"/>
      <c r="L176" s="126"/>
      <c r="M176" s="126"/>
    </row>
    <row r="177" spans="6:13" x14ac:dyDescent="0.15">
      <c r="F177" s="126"/>
      <c r="G177" s="126"/>
      <c r="I177" s="126"/>
      <c r="J177" s="126"/>
      <c r="K177" s="126"/>
      <c r="L177" s="126"/>
      <c r="M177" s="126"/>
    </row>
    <row r="178" spans="6:13" x14ac:dyDescent="0.15">
      <c r="F178" s="126"/>
      <c r="G178" s="126"/>
      <c r="I178" s="126"/>
      <c r="J178" s="126"/>
      <c r="K178" s="126"/>
      <c r="L178" s="126"/>
      <c r="M178" s="126"/>
    </row>
    <row r="179" spans="6:13" x14ac:dyDescent="0.15">
      <c r="F179" s="126"/>
      <c r="G179" s="126"/>
      <c r="I179" s="126"/>
      <c r="J179" s="126"/>
      <c r="K179" s="126"/>
      <c r="L179" s="126"/>
      <c r="M179" s="126"/>
    </row>
    <row r="180" spans="6:13" x14ac:dyDescent="0.15">
      <c r="F180" s="126"/>
      <c r="G180" s="126"/>
      <c r="I180" s="126"/>
      <c r="J180" s="126"/>
      <c r="K180" s="126"/>
      <c r="L180" s="126"/>
      <c r="M180" s="126"/>
    </row>
    <row r="181" spans="6:13" x14ac:dyDescent="0.15">
      <c r="K181" s="126"/>
      <c r="L181" s="126"/>
      <c r="M181" s="126"/>
    </row>
  </sheetData>
  <protectedRanges>
    <protectedRange sqref="B82:D180 M68:M181 B1:J1 K69:L181 L13 M10:M13 H3:H7 F61:J61 E69:J180 K2 K8 B22:D23 L67:L68 B44:D44 F44:F60 B13:B21 B32:D33 B24:B31 D24:D31 D34:D42 B52:D53 B45:B51 D45:D51 B61:D61 B54:B60 D54:D60 L1:M6 D13:D21 F13:F42 L8:M9 B34:B42" name="Full" securityDescriptor="O:WDG:WDD:(A;;CC;;;S-1-5-21-1993962763-879983540-839522115-1156)"/>
    <protectedRange sqref="K10:L11 L12" name="Estimating" securityDescriptor="O:WDG:WDD:(A;;CC;;;S-1-5-21-1993962763-879983540-839522115-1221)"/>
    <protectedRange sqref="F12 B12:D12" name="Full_1" securityDescriptor="O:WDG:WDD:(A;;CC;;;S-1-5-21-1993962763-879983540-839522115-1156)"/>
    <protectedRange sqref="B69:D81" name="Full_2" securityDescriptor="O:WDG:WDD:(A;;CC;;;S-1-5-21-1993962763-879983540-839522115-1156)"/>
    <protectedRange sqref="E3:G7 I7:J7 F2:J2 B10:J11 B2:D2 B6:D6 B3:B5 B8:J8" name="Estimating_1" securityDescriptor="O:WDG:WDD:(A;;CC;;;S-1-5-21-1993962763-879983540-839522115-1221)"/>
    <protectedRange sqref="K34:K43 K45:K52 K54:K60 K24:K32 K13:K22" name="Estimating_5" securityDescriptor="O:WDG:WDD:(A;;CC;;;S-1-5-21-1993962763-879983540-839522115-1221)"/>
    <protectedRange sqref="K68 F63:F68 B63:B67" name="Full_3" securityDescriptor="O:WDG:WDD:(A;;CC;;;S-1-5-21-1993962763-879983540-839522115-1156)"/>
    <protectedRange sqref="B68:C68" name="Full_2_1" securityDescriptor="O:WDG:WDD:(A;;CC;;;S-1-5-21-1993962763-879983540-839522115-1156)"/>
    <protectedRange sqref="D9" name="Estimating_1_1" securityDescriptor="O:WDG:WDD:(A;;CC;;;S-1-5-21-1993962763-879983540-839522115-1221)"/>
    <protectedRange sqref="C3:D5 C7:D7 K7" name="Estimating_1_3" securityDescriptor="O:WDG:WDD:(A;;CC;;;S-1-5-21-1993962763-879983540-839522115-1221)"/>
    <protectedRange sqref="C13:C21" name="Pricing_2" securityDescriptor="O:WDG:WDD:(A;;CC;;;S-1-5-21-1993962763-879983540-839522115-1221)"/>
    <protectedRange sqref="C13:C21" name="Full_5" securityDescriptor="O:WDG:WDD:(A;;CC;;;S-1-5-21-1993962763-879983540-839522115-1156)"/>
    <protectedRange sqref="C24:C31" name="Pricing_3" securityDescriptor="O:WDG:WDD:(A;;CC;;;S-1-5-21-1993962763-879983540-839522115-1221)"/>
    <protectedRange sqref="C24:C31" name="Full_6" securityDescriptor="O:WDG:WDD:(A;;CC;;;S-1-5-21-1993962763-879983540-839522115-1156)"/>
    <protectedRange sqref="C34:C42" name="Pricing_4" securityDescriptor="O:WDG:WDD:(A;;CC;;;S-1-5-21-1993962763-879983540-839522115-1221)"/>
    <protectedRange sqref="C34:C42" name="Full_7" securityDescriptor="O:WDG:WDD:(A;;CC;;;S-1-5-21-1993962763-879983540-839522115-1156)"/>
    <protectedRange sqref="C45:C51" name="Pricing_5" securityDescriptor="O:WDG:WDD:(A;;CC;;;S-1-5-21-1993962763-879983540-839522115-1221)"/>
    <protectedRange sqref="C45:C51" name="Full_8" securityDescriptor="O:WDG:WDD:(A;;CC;;;S-1-5-21-1993962763-879983540-839522115-1156)"/>
    <protectedRange sqref="C54:C60" name="Pricing_6" securityDescriptor="O:WDG:WDD:(A;;CC;;;S-1-5-21-1993962763-879983540-839522115-1221)"/>
    <protectedRange sqref="C54:C60" name="Full_9" securityDescriptor="O:WDG:WDD:(A;;CC;;;S-1-5-21-1993962763-879983540-839522115-1156)"/>
  </protectedRanges>
  <mergeCells count="9">
    <mergeCell ref="L7:N7"/>
    <mergeCell ref="D14:E14"/>
    <mergeCell ref="F7:H7"/>
    <mergeCell ref="C7:D7"/>
    <mergeCell ref="B1:C1"/>
    <mergeCell ref="C3:D3"/>
    <mergeCell ref="C5:D5"/>
    <mergeCell ref="F3:H3"/>
    <mergeCell ref="F5:H5"/>
  </mergeCells>
  <conditionalFormatting sqref="B9">
    <cfRule type="containsText" dxfId="359" priority="30" operator="containsText" text="SELECT">
      <formula>NOT(ISERROR(SEARCH("SELECT",B9)))</formula>
    </cfRule>
    <cfRule type="expression" dxfId="358" priority="31">
      <formula>B9="CURRENCY"</formula>
    </cfRule>
    <cfRule type="expression" dxfId="357" priority="23">
      <formula>$B$9="USD"</formula>
    </cfRule>
  </conditionalFormatting>
  <conditionalFormatting sqref="B13:B21">
    <cfRule type="expression" dxfId="356" priority="12">
      <formula>$C13&gt;0</formula>
    </cfRule>
  </conditionalFormatting>
  <conditionalFormatting sqref="B24:B31">
    <cfRule type="expression" dxfId="355" priority="11">
      <formula>$C24&gt;0</formula>
    </cfRule>
  </conditionalFormatting>
  <conditionalFormatting sqref="B34:B42">
    <cfRule type="expression" dxfId="354" priority="10">
      <formula>$C34&gt;0</formula>
    </cfRule>
  </conditionalFormatting>
  <conditionalFormatting sqref="B45:B51">
    <cfRule type="expression" dxfId="353" priority="9">
      <formula>$C45&gt;0</formula>
    </cfRule>
  </conditionalFormatting>
  <conditionalFormatting sqref="B54:B60">
    <cfRule type="expression" dxfId="352" priority="8">
      <formula>$C54&gt;0</formula>
    </cfRule>
  </conditionalFormatting>
  <conditionalFormatting sqref="C13:C21">
    <cfRule type="cellIs" dxfId="351" priority="6" operator="equal">
      <formula>0</formula>
    </cfRule>
  </conditionalFormatting>
  <conditionalFormatting sqref="C24:C31">
    <cfRule type="cellIs" dxfId="350" priority="5" operator="equal">
      <formula>0</formula>
    </cfRule>
  </conditionalFormatting>
  <conditionalFormatting sqref="C34:C42">
    <cfRule type="cellIs" dxfId="349" priority="4" operator="equal">
      <formula>0</formula>
    </cfRule>
  </conditionalFormatting>
  <conditionalFormatting sqref="C45:C51">
    <cfRule type="cellIs" dxfId="348" priority="3" operator="equal">
      <formula>0</formula>
    </cfRule>
  </conditionalFormatting>
  <conditionalFormatting sqref="C54:C60">
    <cfRule type="cellIs" dxfId="347" priority="2" operator="equal">
      <formula>0</formula>
    </cfRule>
  </conditionalFormatting>
  <conditionalFormatting sqref="C9:D9">
    <cfRule type="cellIs" dxfId="346" priority="16" operator="lessThan">
      <formula>0</formula>
    </cfRule>
    <cfRule type="cellIs" dxfId="345" priority="17" operator="greaterThan">
      <formula>0</formula>
    </cfRule>
  </conditionalFormatting>
  <conditionalFormatting sqref="D14">
    <cfRule type="expression" dxfId="344" priority="1">
      <formula>$C14&gt;0</formula>
    </cfRule>
  </conditionalFormatting>
  <conditionalFormatting sqref="F13:F21 F24:F31 F34:F42 F45:F51 F54:F60">
    <cfRule type="expression" dxfId="343" priority="15">
      <formula>C13&gt;0</formula>
    </cfRule>
  </conditionalFormatting>
  <conditionalFormatting sqref="G13:G21 G24:G31 G34:G42 G45:G51 G54:G60">
    <cfRule type="cellIs" dxfId="342" priority="14" operator="greaterThan">
      <formula>0</formula>
    </cfRule>
  </conditionalFormatting>
  <conditionalFormatting sqref="H13:H21 H24:H31 H34:H42 H45:H51 H54:H60">
    <cfRule type="expression" dxfId="341" priority="232">
      <formula>$C$9&gt;0</formula>
    </cfRule>
    <cfRule type="expression" dxfId="340" priority="233">
      <formula>$C$9&lt;0</formula>
    </cfRule>
  </conditionalFormatting>
  <conditionalFormatting sqref="J1:J1048576">
    <cfRule type="expression" dxfId="339" priority="201">
      <formula>$B$9="PLN"</formula>
    </cfRule>
    <cfRule type="expression" dxfId="338" priority="202">
      <formula>$B$9="CZK"</formula>
    </cfRule>
    <cfRule type="expression" dxfId="337" priority="203">
      <formula>$B$9="USD"</formula>
    </cfRule>
    <cfRule type="expression" dxfId="336" priority="204">
      <formula>$B$9="EURO"</formula>
    </cfRule>
  </conditionalFormatting>
  <conditionalFormatting sqref="J13:K21 J24:K31 J34:K42 J45:K51 J54:K60">
    <cfRule type="cellIs" dxfId="335" priority="13" operator="greaterThan">
      <formula>0</formula>
    </cfRule>
  </conditionalFormatting>
  <pageMargins left="0.23622047244094491" right="0.19685039370078741" top="0.35433070866141736" bottom="0.23622047244094491" header="0.31496062992125984" footer="0.23622047244094491"/>
  <pageSetup paperSize="9" scale="60" orientation="portrait" cellComments="asDisplayed" r:id="rId1"/>
  <headerFooter>
    <oddFooter>&amp;Z&amp;F</oddFooter>
  </headerFooter>
  <ignoredErrors>
    <ignoredError sqref="H12 H33 H53 H23 H44" formula="1"/>
  </ignoredError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A00-000000000000}">
          <x14:formula1>
            <xm:f>'Base Costs'!$E$4:$E$213</xm:f>
          </x14:formula1>
          <xm:sqref>D54</xm:sqref>
        </x14:dataValidation>
        <x14:dataValidation type="list" allowBlank="1" showInputMessage="1" showErrorMessage="1" xr:uid="{00000000-0002-0000-0A00-000001000000}">
          <x14:formula1>
            <xm:f>'Base Costs'!$A$32:$A$37</xm:f>
          </x14:formula1>
          <xm:sqref>B9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A5EA-1B0B-4D5D-92BA-8F720549DAF1}">
  <sheetPr>
    <tabColor theme="8" tint="0.79998168889431442"/>
    <pageSetUpPr fitToPage="1"/>
  </sheetPr>
  <dimension ref="A1:AD161"/>
  <sheetViews>
    <sheetView showGridLines="0" zoomScale="80" zoomScaleNormal="80" zoomScaleSheetLayoutView="50" workbookViewId="0">
      <selection activeCell="R35" sqref="R35"/>
    </sheetView>
  </sheetViews>
  <sheetFormatPr baseColWidth="10" defaultColWidth="8.83203125" defaultRowHeight="15" customHeight="1" x14ac:dyDescent="0.15"/>
  <cols>
    <col min="1" max="2" width="2" style="215" customWidth="1"/>
    <col min="3" max="3" width="42.83203125" style="217" bestFit="1" customWidth="1"/>
    <col min="4" max="4" width="39.83203125" style="217" customWidth="1"/>
    <col min="5" max="5" width="27.1640625" style="217" customWidth="1"/>
    <col min="6" max="6" width="16.83203125" style="217" customWidth="1"/>
    <col min="7" max="7" width="15.5" style="217" customWidth="1"/>
    <col min="8" max="8" width="19.6640625" style="217" customWidth="1"/>
    <col min="9" max="9" width="10" style="233" bestFit="1" customWidth="1"/>
    <col min="10" max="10" width="14.83203125" style="348" bestFit="1" customWidth="1"/>
    <col min="11" max="11" width="17.5" style="228" customWidth="1"/>
    <col min="12" max="12" width="10.5" style="228" customWidth="1"/>
    <col min="13" max="13" width="10.66406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65" t="s">
        <v>1469</v>
      </c>
      <c r="D1" s="1165"/>
      <c r="E1" s="216"/>
      <c r="F1" s="216"/>
      <c r="G1" s="216"/>
      <c r="H1" s="216"/>
      <c r="I1" s="29"/>
      <c r="J1" s="336"/>
      <c r="K1" s="337"/>
      <c r="L1" s="338"/>
      <c r="M1" s="339"/>
      <c r="N1" s="336"/>
      <c r="O1" s="981" t="s">
        <v>1478</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728</v>
      </c>
      <c r="D3" s="1155" t="str">
        <f>IF(CANOPY!C3="","",CANOPY!C3)</f>
        <v/>
      </c>
      <c r="E3" s="1155"/>
      <c r="G3" s="76" t="s">
        <v>75</v>
      </c>
      <c r="H3" s="1081" t="str">
        <f>IF(CANOPY!G3="","",CANOPY!G3)</f>
        <v/>
      </c>
      <c r="I3" s="1081"/>
      <c r="J3" s="1081"/>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72</v>
      </c>
      <c r="D5" s="1080" t="str">
        <f>IF(CANOPY!C5="","",CANOPY!C5)</f>
        <v/>
      </c>
      <c r="E5" s="1080"/>
      <c r="G5" s="76" t="s">
        <v>74</v>
      </c>
      <c r="H5" s="1081" t="str">
        <f>IF(CANOPY!G5="","",CANOPY!G5)</f>
        <v/>
      </c>
      <c r="I5" s="1081"/>
      <c r="J5" s="1081"/>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729</v>
      </c>
      <c r="D7" s="1080" t="str">
        <f>IF(CANOPY!C7="","",CANOPY!C7)</f>
        <v/>
      </c>
      <c r="E7" s="1080"/>
      <c r="G7" s="76" t="s">
        <v>73</v>
      </c>
      <c r="H7" s="1083" t="str">
        <f>IF(CANOPY!G7="","",CANOPY!G7)</f>
        <v/>
      </c>
      <c r="I7" s="1083"/>
      <c r="J7" s="1083"/>
      <c r="N7" s="347" t="s">
        <v>76</v>
      </c>
      <c r="O7" s="907" t="str">
        <f>IF(CANOPY!O7="","",CANOPY!O7)</f>
        <v/>
      </c>
      <c r="P7" s="1173" t="s">
        <v>1370</v>
      </c>
      <c r="Q7" s="1173"/>
      <c r="R7" s="1173"/>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348</v>
      </c>
      <c r="D9" s="956">
        <v>0</v>
      </c>
      <c r="E9" s="377">
        <f>IF(D9=0,0,(SUBTOTAL(9,M14:M48)/(1-D9))-M9)</f>
        <v>0</v>
      </c>
      <c r="I9" s="234"/>
      <c r="K9" s="25">
        <f>SUBTOTAL(9,K12:K48)</f>
        <v>167.5</v>
      </c>
      <c r="L9" s="976">
        <f>IF(O9=0,"-",O9/M9)</f>
        <v>0.39433325837643363</v>
      </c>
      <c r="M9" s="25">
        <f>SUBTOTAL(9,M12:M48)</f>
        <v>276.55472636815921</v>
      </c>
      <c r="N9" s="464">
        <f>SUBTOTAL(9,N12:N48)</f>
        <v>276.55472636815921</v>
      </c>
      <c r="O9" s="25">
        <f>SUBTOTAL(9,O12:O48)</f>
        <v>109.05472636815922</v>
      </c>
      <c r="P9" s="217"/>
      <c r="Q9" s="217"/>
      <c r="R9" s="217"/>
      <c r="S9" s="217"/>
      <c r="T9" s="217"/>
      <c r="U9" s="217"/>
      <c r="V9" s="217"/>
      <c r="Z9" s="217"/>
      <c r="AA9" s="217"/>
      <c r="AB9" s="217"/>
    </row>
    <row r="10" spans="1:28" s="80" customFormat="1" ht="15" customHeight="1" x14ac:dyDescent="0.15">
      <c r="A10" s="215"/>
      <c r="B10" s="215"/>
      <c r="C10" s="6" t="s">
        <v>348</v>
      </c>
      <c r="D10" s="6" t="s">
        <v>537</v>
      </c>
      <c r="E10" s="6" t="s">
        <v>536</v>
      </c>
      <c r="F10" s="6"/>
      <c r="G10" s="6"/>
      <c r="H10" s="6"/>
      <c r="I10" s="6"/>
      <c r="J10" s="1" t="s">
        <v>204</v>
      </c>
      <c r="K10" s="2" t="s">
        <v>34</v>
      </c>
      <c r="L10" s="3" t="s">
        <v>141</v>
      </c>
      <c r="M10" s="4" t="s">
        <v>127</v>
      </c>
      <c r="N10" s="1" t="s">
        <v>205</v>
      </c>
      <c r="O10" s="5" t="s">
        <v>206</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347</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604</v>
      </c>
      <c r="D12" s="236"/>
      <c r="E12" s="237">
        <f>E14</f>
        <v>0</v>
      </c>
      <c r="F12" s="845">
        <v>0</v>
      </c>
      <c r="G12" s="845">
        <f>IF(I12&lt;1,0,CEILING((G14-100)/I14,250))</f>
        <v>0</v>
      </c>
      <c r="H12" s="237" t="str">
        <f>E12&amp;G12&amp;F12</f>
        <v>000</v>
      </c>
      <c r="I12" s="236">
        <f>IF(F14=0,0,IF(G14=0,0,(F14/(IF(D14="WALL",F14,(F14/2)))*I14)))</f>
        <v>0</v>
      </c>
      <c r="J12" s="238"/>
      <c r="K12" s="154">
        <f>SUBTOTAL(9,K14:K34)</f>
        <v>0</v>
      </c>
      <c r="L12" s="15" t="str">
        <f>IF(K14=0,"-",O12/M12)</f>
        <v>-</v>
      </c>
      <c r="M12" s="154">
        <f>SUBTOTAL(9,M14:M34)</f>
        <v>0</v>
      </c>
      <c r="N12" s="464">
        <f>SUBTOTAL(9,N14:N34)</f>
        <v>0</v>
      </c>
      <c r="O12" s="154">
        <f>SUBTOTAL(9,O14:O34)</f>
        <v>0</v>
      </c>
      <c r="P12" s="217"/>
      <c r="Q12" s="217"/>
      <c r="R12" s="217"/>
      <c r="S12" s="217"/>
      <c r="T12" s="217"/>
      <c r="U12" s="235"/>
      <c r="V12" s="217"/>
      <c r="Z12" s="217"/>
      <c r="AA12" s="217"/>
      <c r="AB12" s="217"/>
    </row>
    <row r="13" spans="1:28" ht="15" customHeight="1" x14ac:dyDescent="0.15">
      <c r="C13" s="7"/>
      <c r="D13" s="10" t="s">
        <v>198</v>
      </c>
      <c r="E13" s="27" t="s">
        <v>972</v>
      </c>
      <c r="F13" s="10" t="s">
        <v>129</v>
      </c>
      <c r="G13" s="10" t="s">
        <v>128</v>
      </c>
      <c r="H13" s="10" t="s">
        <v>172</v>
      </c>
      <c r="I13" s="10" t="s">
        <v>197</v>
      </c>
      <c r="J13" s="349"/>
      <c r="K13" s="350"/>
      <c r="L13" s="350"/>
      <c r="M13" s="351"/>
      <c r="N13" s="352"/>
      <c r="O13" s="5"/>
      <c r="U13" s="229"/>
      <c r="AA13" s="217"/>
    </row>
    <row r="14" spans="1:28" ht="15" customHeight="1" x14ac:dyDescent="0.2">
      <c r="A14" s="215">
        <v>210</v>
      </c>
      <c r="C14" s="791" t="s">
        <v>1316</v>
      </c>
      <c r="D14" s="460" t="s">
        <v>1314</v>
      </c>
      <c r="E14" s="448"/>
      <c r="F14" s="844">
        <v>300</v>
      </c>
      <c r="G14" s="842">
        <v>95</v>
      </c>
      <c r="H14" s="903">
        <v>250</v>
      </c>
      <c r="I14" s="31"/>
      <c r="J14" s="380">
        <v>419.97</v>
      </c>
      <c r="K14" s="378">
        <f>SUM(J14*E14)</f>
        <v>0</v>
      </c>
      <c r="L14" s="392">
        <v>0.35</v>
      </c>
      <c r="M14" s="311">
        <f t="shared" ref="M14:M32" si="0">(K14/(1-L14))*(1+$D$9)</f>
        <v>0</v>
      </c>
      <c r="N14" s="378">
        <f>(M14*VLOOKUP($C$9,'Base Costs'!$A$32:$B$37,2,FALSE))</f>
        <v>0</v>
      </c>
      <c r="O14" s="379">
        <f t="shared" ref="O14:O32" si="1">M14-K14</f>
        <v>0</v>
      </c>
      <c r="U14" s="229"/>
      <c r="AA14" s="217"/>
    </row>
    <row r="15" spans="1:28" ht="15" customHeight="1" x14ac:dyDescent="0.2">
      <c r="A15" s="215">
        <v>104</v>
      </c>
      <c r="C15" s="864" t="s">
        <v>1317</v>
      </c>
      <c r="D15" s="460" t="s">
        <v>1315</v>
      </c>
      <c r="E15" s="448"/>
      <c r="F15" s="902">
        <v>380</v>
      </c>
      <c r="G15" s="842">
        <v>300</v>
      </c>
      <c r="H15" s="903">
        <v>180</v>
      </c>
      <c r="I15" s="31"/>
      <c r="J15" s="380">
        <v>1030.52</v>
      </c>
      <c r="K15" s="378">
        <f t="shared" ref="K15:K34" si="2">SUM(J15*E15)</f>
        <v>0</v>
      </c>
      <c r="L15" s="392">
        <v>0.35</v>
      </c>
      <c r="M15" s="311">
        <f t="shared" si="0"/>
        <v>0</v>
      </c>
      <c r="N15" s="378">
        <f>(M15*VLOOKUP($C$9,'Base Costs'!$A$32:$B$37,2,FALSE))</f>
        <v>0</v>
      </c>
      <c r="O15" s="379">
        <f t="shared" si="1"/>
        <v>0</v>
      </c>
      <c r="U15" s="229"/>
      <c r="AA15" s="217"/>
    </row>
    <row r="16" spans="1:28" ht="15" customHeight="1" x14ac:dyDescent="0.2">
      <c r="A16" s="215">
        <v>234</v>
      </c>
      <c r="C16" s="864" t="s">
        <v>1318</v>
      </c>
      <c r="D16" s="460" t="s">
        <v>1328</v>
      </c>
      <c r="E16" s="461"/>
      <c r="F16" s="902">
        <v>380</v>
      </c>
      <c r="G16" s="842">
        <v>300</v>
      </c>
      <c r="H16" s="903">
        <v>180</v>
      </c>
      <c r="I16" s="31"/>
      <c r="J16" s="380">
        <v>690.16</v>
      </c>
      <c r="K16" s="378">
        <f t="shared" si="2"/>
        <v>0</v>
      </c>
      <c r="L16" s="392">
        <v>0.35</v>
      </c>
      <c r="M16" s="311">
        <f t="shared" si="0"/>
        <v>0</v>
      </c>
      <c r="N16" s="378">
        <f>(M16*VLOOKUP($C$9,'Base Costs'!$A$32:$B$37,2,FALSE))</f>
        <v>0</v>
      </c>
      <c r="O16" s="379">
        <f t="shared" si="1"/>
        <v>0</v>
      </c>
      <c r="U16" s="229"/>
      <c r="AA16" s="217"/>
    </row>
    <row r="17" spans="1:27" ht="15" customHeight="1" x14ac:dyDescent="0.2">
      <c r="C17" s="864" t="s">
        <v>1319</v>
      </c>
      <c r="D17" s="460" t="s">
        <v>1326</v>
      </c>
      <c r="E17" s="448"/>
      <c r="F17" s="902">
        <v>380</v>
      </c>
      <c r="G17" s="902">
        <v>300</v>
      </c>
      <c r="H17" s="903">
        <v>180</v>
      </c>
      <c r="I17" s="31"/>
      <c r="J17" s="380">
        <v>894.01</v>
      </c>
      <c r="K17" s="378">
        <f t="shared" si="2"/>
        <v>0</v>
      </c>
      <c r="L17" s="392">
        <v>0.35</v>
      </c>
      <c r="M17" s="311">
        <f t="shared" si="0"/>
        <v>0</v>
      </c>
      <c r="N17" s="378">
        <f>(M17*VLOOKUP($C$9,'Base Costs'!$A$32:$B$37,2,FALSE))</f>
        <v>0</v>
      </c>
      <c r="O17" s="379">
        <f t="shared" si="1"/>
        <v>0</v>
      </c>
      <c r="U17" s="229"/>
      <c r="AA17" s="217"/>
    </row>
    <row r="18" spans="1:27" ht="15" customHeight="1" x14ac:dyDescent="0.2">
      <c r="C18" s="864" t="s">
        <v>1320</v>
      </c>
      <c r="D18" s="460" t="s">
        <v>1327</v>
      </c>
      <c r="E18" s="448"/>
      <c r="F18" s="902">
        <v>380</v>
      </c>
      <c r="G18" s="902">
        <v>300</v>
      </c>
      <c r="H18" s="903">
        <v>180</v>
      </c>
      <c r="I18" s="31"/>
      <c r="J18" s="380">
        <v>1039.58</v>
      </c>
      <c r="K18" s="378">
        <f t="shared" si="2"/>
        <v>0</v>
      </c>
      <c r="L18" s="392">
        <v>0.35</v>
      </c>
      <c r="M18" s="311">
        <f t="shared" si="0"/>
        <v>0</v>
      </c>
      <c r="N18" s="378">
        <f>(M18*VLOOKUP($C$9,'Base Costs'!$A$32:$B$37,2,FALSE))</f>
        <v>0</v>
      </c>
      <c r="O18" s="379">
        <f t="shared" si="1"/>
        <v>0</v>
      </c>
      <c r="U18" s="229"/>
      <c r="AA18" s="217"/>
    </row>
    <row r="19" spans="1:27" ht="15" customHeight="1" x14ac:dyDescent="0.2">
      <c r="C19" s="864"/>
      <c r="D19" s="460"/>
      <c r="E19" s="448"/>
      <c r="F19" s="902"/>
      <c r="G19" s="902"/>
      <c r="H19" s="903"/>
      <c r="I19" s="31"/>
      <c r="J19" s="380"/>
      <c r="K19" s="378"/>
      <c r="L19" s="392"/>
      <c r="M19" s="311"/>
      <c r="N19" s="378"/>
      <c r="O19" s="379"/>
      <c r="U19" s="229"/>
      <c r="AA19" s="217"/>
    </row>
    <row r="20" spans="1:27" ht="15" customHeight="1" x14ac:dyDescent="0.2">
      <c r="C20" s="791" t="s">
        <v>1461</v>
      </c>
      <c r="D20" s="1071" t="s">
        <v>1397</v>
      </c>
      <c r="E20" s="448"/>
      <c r="F20" s="902">
        <v>160</v>
      </c>
      <c r="G20" s="902">
        <v>34</v>
      </c>
      <c r="H20" s="903">
        <v>106</v>
      </c>
      <c r="I20" s="31"/>
      <c r="J20" s="380">
        <v>336.21</v>
      </c>
      <c r="K20" s="378">
        <f t="shared" si="2"/>
        <v>0</v>
      </c>
      <c r="L20" s="392">
        <v>0.35</v>
      </c>
      <c r="M20" s="311">
        <f t="shared" si="0"/>
        <v>0</v>
      </c>
      <c r="N20" s="378">
        <f>(M20*VLOOKUP($C$9,'Base Costs'!$A$32:$B$37,2,FALSE))</f>
        <v>0</v>
      </c>
      <c r="O20" s="379">
        <f t="shared" si="1"/>
        <v>0</v>
      </c>
      <c r="U20" s="229"/>
      <c r="AA20" s="217"/>
    </row>
    <row r="21" spans="1:27" ht="15" customHeight="1" x14ac:dyDescent="0.2">
      <c r="C21" s="791" t="s">
        <v>1398</v>
      </c>
      <c r="D21" s="460" t="s">
        <v>1399</v>
      </c>
      <c r="E21" s="448"/>
      <c r="F21" s="902">
        <v>270</v>
      </c>
      <c r="G21" s="902">
        <v>200</v>
      </c>
      <c r="H21" s="903">
        <v>150</v>
      </c>
      <c r="I21" s="31"/>
      <c r="J21" s="380">
        <v>82</v>
      </c>
      <c r="K21" s="378">
        <f t="shared" ref="K21" si="3">SUM(J21*E21)</f>
        <v>0</v>
      </c>
      <c r="L21" s="392">
        <v>0.35</v>
      </c>
      <c r="M21" s="311">
        <f t="shared" ref="M21" si="4">(K21/(1-L21))*(1+$D$9)</f>
        <v>0</v>
      </c>
      <c r="N21" s="378">
        <f>(M21*VLOOKUP($C$9,'Base Costs'!$A$32:$B$37,2,FALSE))</f>
        <v>0</v>
      </c>
      <c r="O21" s="379">
        <f t="shared" ref="O21" si="5">M21-K21</f>
        <v>0</v>
      </c>
      <c r="U21" s="229"/>
      <c r="AA21" s="217"/>
    </row>
    <row r="22" spans="1:27" ht="15" customHeight="1" x14ac:dyDescent="0.2">
      <c r="C22" s="270" t="s">
        <v>1322</v>
      </c>
      <c r="D22" s="460" t="s">
        <v>1321</v>
      </c>
      <c r="E22" s="448"/>
      <c r="F22" s="902">
        <v>179</v>
      </c>
      <c r="G22" s="902">
        <v>129</v>
      </c>
      <c r="H22" s="903">
        <v>100</v>
      </c>
      <c r="I22" s="31"/>
      <c r="J22" s="380">
        <v>212.86</v>
      </c>
      <c r="K22" s="378">
        <f t="shared" si="2"/>
        <v>0</v>
      </c>
      <c r="L22" s="392">
        <v>0.35</v>
      </c>
      <c r="M22" s="311">
        <f t="shared" si="0"/>
        <v>0</v>
      </c>
      <c r="N22" s="378">
        <f>(M22*VLOOKUP($C$9,'Base Costs'!$A$32:$B$37,2,FALSE))</f>
        <v>0</v>
      </c>
      <c r="O22" s="379">
        <f t="shared" si="1"/>
        <v>0</v>
      </c>
      <c r="P22" s="1070" t="s">
        <v>1462</v>
      </c>
      <c r="U22" s="229"/>
      <c r="AA22" s="217"/>
    </row>
    <row r="23" spans="1:27" ht="15" customHeight="1" x14ac:dyDescent="0.2">
      <c r="A23" s="215">
        <v>289</v>
      </c>
      <c r="C23" s="270"/>
      <c r="D23" s="460"/>
      <c r="E23" s="448"/>
      <c r="F23" s="902"/>
      <c r="G23" s="902"/>
      <c r="H23" s="903"/>
      <c r="I23" s="31"/>
      <c r="J23" s="380"/>
      <c r="K23" s="378">
        <f t="shared" si="2"/>
        <v>0</v>
      </c>
      <c r="L23" s="392"/>
      <c r="M23" s="311">
        <f t="shared" si="0"/>
        <v>0</v>
      </c>
      <c r="N23" s="378">
        <f>(M23*VLOOKUP($C$9,'Base Costs'!$A$32:$B$37,2,FALSE))</f>
        <v>0</v>
      </c>
      <c r="O23" s="379">
        <f t="shared" si="1"/>
        <v>0</v>
      </c>
      <c r="U23" s="229"/>
      <c r="AA23" s="217"/>
    </row>
    <row r="24" spans="1:27" ht="15" customHeight="1" x14ac:dyDescent="0.2">
      <c r="A24" s="215">
        <v>242</v>
      </c>
      <c r="C24" s="270" t="s">
        <v>1451</v>
      </c>
      <c r="D24" s="460" t="s">
        <v>1324</v>
      </c>
      <c r="E24" s="448"/>
      <c r="F24" s="902">
        <v>250</v>
      </c>
      <c r="G24" s="902">
        <v>175</v>
      </c>
      <c r="H24" s="903">
        <v>100</v>
      </c>
      <c r="I24" s="31"/>
      <c r="J24" s="380">
        <v>100.91</v>
      </c>
      <c r="K24" s="378">
        <f t="shared" si="2"/>
        <v>0</v>
      </c>
      <c r="L24" s="392">
        <v>0.35</v>
      </c>
      <c r="M24" s="311">
        <f t="shared" si="0"/>
        <v>0</v>
      </c>
      <c r="N24" s="378">
        <f>(M24*VLOOKUP($C$9,'Base Costs'!$A$32:$B$37,2,FALSE))</f>
        <v>0</v>
      </c>
      <c r="O24" s="379">
        <f t="shared" si="1"/>
        <v>0</v>
      </c>
      <c r="U24" s="229"/>
      <c r="AA24" s="217"/>
    </row>
    <row r="25" spans="1:27" ht="15" customHeight="1" x14ac:dyDescent="0.2">
      <c r="A25" s="215">
        <v>220</v>
      </c>
      <c r="C25" s="864" t="s">
        <v>1454</v>
      </c>
      <c r="D25" s="1072" t="s">
        <v>1460</v>
      </c>
      <c r="E25" s="448"/>
      <c r="F25" s="844">
        <v>250</v>
      </c>
      <c r="G25" s="902">
        <v>175</v>
      </c>
      <c r="H25" s="903">
        <v>100</v>
      </c>
      <c r="I25" s="31"/>
      <c r="J25" s="380">
        <v>484.58</v>
      </c>
      <c r="K25" s="378">
        <f t="shared" si="2"/>
        <v>0</v>
      </c>
      <c r="L25" s="392">
        <v>0.35</v>
      </c>
      <c r="M25" s="311">
        <f t="shared" si="0"/>
        <v>0</v>
      </c>
      <c r="N25" s="378">
        <f>(M25*VLOOKUP($C$9,'Base Costs'!$A$32:$B$37,2,FALSE))</f>
        <v>0</v>
      </c>
      <c r="O25" s="379">
        <f t="shared" si="1"/>
        <v>0</v>
      </c>
      <c r="U25" s="229"/>
      <c r="AA25" s="217"/>
    </row>
    <row r="26" spans="1:27" ht="15" customHeight="1" x14ac:dyDescent="0.2">
      <c r="A26" s="215">
        <v>103</v>
      </c>
      <c r="C26" s="864"/>
      <c r="D26" s="460"/>
      <c r="E26" s="448"/>
      <c r="F26" s="844"/>
      <c r="G26" s="902"/>
      <c r="H26" s="903"/>
      <c r="I26" s="31"/>
      <c r="J26" s="380"/>
      <c r="K26" s="378">
        <f t="shared" si="2"/>
        <v>0</v>
      </c>
      <c r="L26" s="392"/>
      <c r="M26" s="311">
        <f t="shared" si="0"/>
        <v>0</v>
      </c>
      <c r="N26" s="378">
        <f>(M26*VLOOKUP($C$9,'Base Costs'!$A$32:$B$37,2,FALSE))</f>
        <v>0</v>
      </c>
      <c r="O26" s="379">
        <f t="shared" si="1"/>
        <v>0</v>
      </c>
      <c r="U26" s="229"/>
      <c r="AA26" s="217"/>
    </row>
    <row r="27" spans="1:27" ht="15" customHeight="1" x14ac:dyDescent="0.2">
      <c r="A27" s="215">
        <v>103</v>
      </c>
      <c r="C27" s="864" t="s">
        <v>1452</v>
      </c>
      <c r="D27" s="927" t="s">
        <v>1329</v>
      </c>
      <c r="E27" s="448"/>
      <c r="F27" s="844"/>
      <c r="G27" s="902"/>
      <c r="H27" s="903"/>
      <c r="I27" s="31"/>
      <c r="J27" s="380">
        <v>522.38</v>
      </c>
      <c r="K27" s="378">
        <f t="shared" si="2"/>
        <v>0</v>
      </c>
      <c r="L27" s="392">
        <v>0.35</v>
      </c>
      <c r="M27" s="311">
        <f t="shared" si="0"/>
        <v>0</v>
      </c>
      <c r="N27" s="378">
        <f>(M27*VLOOKUP($C$9,'Base Costs'!$A$32:$B$37,2,FALSE))</f>
        <v>0</v>
      </c>
      <c r="O27" s="379">
        <f t="shared" si="1"/>
        <v>0</v>
      </c>
      <c r="P27" s="996" t="s">
        <v>1456</v>
      </c>
      <c r="U27" s="229"/>
      <c r="AA27" s="217"/>
    </row>
    <row r="28" spans="1:27" ht="15" customHeight="1" x14ac:dyDescent="0.2">
      <c r="C28" s="864" t="s">
        <v>1453</v>
      </c>
      <c r="D28" s="1073" t="s">
        <v>1329</v>
      </c>
      <c r="E28" s="448"/>
      <c r="F28" s="902"/>
      <c r="G28" s="902"/>
      <c r="H28" s="903"/>
      <c r="I28" s="31"/>
      <c r="J28" s="380">
        <v>130</v>
      </c>
      <c r="K28" s="378">
        <f t="shared" si="2"/>
        <v>0</v>
      </c>
      <c r="L28" s="392">
        <v>0.35</v>
      </c>
      <c r="M28" s="311">
        <f t="shared" si="0"/>
        <v>0</v>
      </c>
      <c r="N28" s="378">
        <f>(M28*VLOOKUP($C$9,'Base Costs'!$A$32:$B$37,2,FALSE))</f>
        <v>0</v>
      </c>
      <c r="O28" s="379">
        <f t="shared" si="1"/>
        <v>0</v>
      </c>
      <c r="P28" s="996" t="s">
        <v>1455</v>
      </c>
      <c r="U28" s="229"/>
      <c r="AA28" s="217"/>
    </row>
    <row r="29" spans="1:27" ht="15" customHeight="1" x14ac:dyDescent="0.15">
      <c r="A29" s="215">
        <v>285</v>
      </c>
      <c r="C29" s="864"/>
      <c r="D29" s="460"/>
      <c r="E29" s="448"/>
      <c r="F29" s="905"/>
      <c r="G29" s="905"/>
      <c r="H29" s="906"/>
      <c r="I29" s="31"/>
      <c r="J29" s="380"/>
      <c r="K29" s="378">
        <f t="shared" si="2"/>
        <v>0</v>
      </c>
      <c r="L29" s="392"/>
      <c r="M29" s="311">
        <f t="shared" si="0"/>
        <v>0</v>
      </c>
      <c r="N29" s="378">
        <f>(M29*VLOOKUP($C$9,'Base Costs'!$A$32:$B$37,2,FALSE))</f>
        <v>0</v>
      </c>
      <c r="O29" s="379">
        <f t="shared" si="1"/>
        <v>0</v>
      </c>
      <c r="U29" s="229"/>
      <c r="AA29" s="217"/>
    </row>
    <row r="30" spans="1:27" ht="15" customHeight="1" x14ac:dyDescent="0.15">
      <c r="C30" s="864"/>
      <c r="D30" s="460"/>
      <c r="E30" s="448"/>
      <c r="F30" s="905"/>
      <c r="G30" s="905"/>
      <c r="H30" s="906"/>
      <c r="I30" s="31"/>
      <c r="J30" s="380"/>
      <c r="K30" s="378">
        <f t="shared" si="2"/>
        <v>0</v>
      </c>
      <c r="L30" s="392"/>
      <c r="M30" s="311">
        <f t="shared" si="0"/>
        <v>0</v>
      </c>
      <c r="N30" s="378">
        <f>(M30*VLOOKUP($C$9,'Base Costs'!$A$32:$B$37,2,FALSE))</f>
        <v>0</v>
      </c>
      <c r="O30" s="379">
        <f t="shared" si="1"/>
        <v>0</v>
      </c>
      <c r="U30" s="229"/>
      <c r="AA30" s="217"/>
    </row>
    <row r="31" spans="1:27" ht="15" customHeight="1" x14ac:dyDescent="0.2">
      <c r="C31" s="269"/>
      <c r="D31" s="460"/>
      <c r="E31" s="448"/>
      <c r="F31" s="902"/>
      <c r="G31" s="902"/>
      <c r="H31" s="903"/>
      <c r="I31" s="31"/>
      <c r="J31" s="380">
        <v>0</v>
      </c>
      <c r="K31" s="378">
        <f t="shared" si="2"/>
        <v>0</v>
      </c>
      <c r="L31" s="392"/>
      <c r="M31" s="311">
        <f t="shared" si="0"/>
        <v>0</v>
      </c>
      <c r="N31" s="378">
        <f>(M31*VLOOKUP($C$9,'Base Costs'!$A$32:$B$37,2,FALSE))</f>
        <v>0</v>
      </c>
      <c r="O31" s="379">
        <f t="shared" si="1"/>
        <v>0</v>
      </c>
      <c r="U31" s="229"/>
      <c r="AA31" s="217"/>
    </row>
    <row r="32" spans="1:27" ht="15" customHeight="1" x14ac:dyDescent="0.2">
      <c r="A32" s="215">
        <v>286</v>
      </c>
      <c r="C32" s="270"/>
      <c r="D32" s="460"/>
      <c r="E32" s="448"/>
      <c r="F32" s="902"/>
      <c r="G32" s="902"/>
      <c r="H32" s="903"/>
      <c r="I32" s="31"/>
      <c r="J32" s="380">
        <v>0</v>
      </c>
      <c r="K32" s="378">
        <f t="shared" si="2"/>
        <v>0</v>
      </c>
      <c r="L32" s="392"/>
      <c r="M32" s="311">
        <f t="shared" si="0"/>
        <v>0</v>
      </c>
      <c r="N32" s="378">
        <f>(M32*VLOOKUP($C$9,'Base Costs'!$A$32:$B$37,2,FALSE))</f>
        <v>0</v>
      </c>
      <c r="O32" s="379">
        <f t="shared" si="1"/>
        <v>0</v>
      </c>
      <c r="U32" s="229"/>
      <c r="AA32" s="217"/>
    </row>
    <row r="33" spans="1:27" ht="15" customHeight="1" x14ac:dyDescent="0.15">
      <c r="C33" s="269"/>
      <c r="D33" s="460"/>
      <c r="E33" s="448"/>
      <c r="F33" s="462"/>
      <c r="G33" s="32"/>
      <c r="H33" s="30"/>
      <c r="I33" s="31"/>
      <c r="J33" s="938"/>
      <c r="K33" s="378">
        <f t="shared" si="2"/>
        <v>0</v>
      </c>
      <c r="L33" s="392"/>
      <c r="M33" s="311">
        <f>(K33/(1-L33))*(1+$D$9)</f>
        <v>0</v>
      </c>
      <c r="N33" s="378">
        <f>(M33*VLOOKUP($C$9,'Base Costs'!$A$32:$B$37,2,FALSE))</f>
        <v>0</v>
      </c>
      <c r="O33" s="379">
        <f>M33-K33</f>
        <v>0</v>
      </c>
      <c r="U33" s="229"/>
      <c r="AA33" s="217"/>
    </row>
    <row r="34" spans="1:27" ht="15" customHeight="1" x14ac:dyDescent="0.15">
      <c r="C34" s="864"/>
      <c r="D34" s="460"/>
      <c r="E34" s="448"/>
      <c r="F34" s="462"/>
      <c r="G34" s="32"/>
      <c r="H34" s="30"/>
      <c r="I34" s="31"/>
      <c r="J34" s="938"/>
      <c r="K34" s="378">
        <f t="shared" si="2"/>
        <v>0</v>
      </c>
      <c r="L34" s="392"/>
      <c r="M34" s="311">
        <f>(K34/(1-L34))*(1+$D$9)</f>
        <v>0</v>
      </c>
      <c r="N34" s="378">
        <f>(M34*VLOOKUP($C$9,'Base Costs'!$A$32:$B$37,2,FALSE))</f>
        <v>0</v>
      </c>
      <c r="O34" s="379">
        <f>M34-K34</f>
        <v>0</v>
      </c>
      <c r="U34" s="229"/>
      <c r="AA34" s="217"/>
    </row>
    <row r="35" spans="1:27" ht="15" customHeight="1" x14ac:dyDescent="0.15">
      <c r="H35" s="34" t="s">
        <v>347</v>
      </c>
    </row>
    <row r="36" spans="1:27" ht="15" customHeight="1" x14ac:dyDescent="0.15">
      <c r="C36" s="239"/>
      <c r="D36" s="239"/>
      <c r="E36" s="239"/>
      <c r="F36" s="239"/>
      <c r="G36" s="239"/>
      <c r="H36" s="239"/>
      <c r="I36" s="9"/>
      <c r="J36" s="11"/>
      <c r="K36" s="353"/>
      <c r="L36" s="240"/>
      <c r="M36" s="353"/>
      <c r="N36" s="353"/>
      <c r="U36" s="229"/>
      <c r="AA36" s="217"/>
    </row>
    <row r="37" spans="1:27" ht="15" customHeight="1" x14ac:dyDescent="0.15">
      <c r="C37" s="1094" t="s">
        <v>47</v>
      </c>
      <c r="D37" s="1094"/>
      <c r="E37" s="1094"/>
      <c r="F37" s="1094"/>
      <c r="G37" s="1094"/>
      <c r="H37" s="1094"/>
      <c r="I37" s="236"/>
      <c r="J37" s="330"/>
      <c r="K37" s="154">
        <f>SUBTOTAL(9,K38:K48)</f>
        <v>167.5</v>
      </c>
      <c r="L37" s="15">
        <f>IF(K37=0,"-",O37/M37)</f>
        <v>0.39433325837643363</v>
      </c>
      <c r="M37" s="154">
        <f>SUBTOTAL(9,M38:M48)</f>
        <v>276.55472636815921</v>
      </c>
      <c r="N37" s="464">
        <f>SUBTOTAL(9,N38:N48)</f>
        <v>276.55472636815921</v>
      </c>
      <c r="O37" s="154">
        <f>SUBTOTAL(9,O39:O48)</f>
        <v>109.05472636815922</v>
      </c>
      <c r="U37" s="229"/>
    </row>
    <row r="38" spans="1:27" ht="15" customHeight="1" x14ac:dyDescent="0.15">
      <c r="A38" s="215">
        <v>222</v>
      </c>
      <c r="C38" s="269" t="s">
        <v>10</v>
      </c>
      <c r="D38" s="242"/>
      <c r="E38" s="309" t="s">
        <v>45</v>
      </c>
      <c r="F38" s="28"/>
      <c r="G38" s="30"/>
      <c r="H38" s="28"/>
      <c r="I38" s="28"/>
      <c r="J38" s="385">
        <f>VLOOKUP(E38,'Base Costs'!E4:G213,2,FALSE)</f>
        <v>0</v>
      </c>
      <c r="K38" s="378">
        <f t="shared" ref="K38:K48" si="6">D38*J38</f>
        <v>0</v>
      </c>
      <c r="L38" s="392">
        <v>0.33</v>
      </c>
      <c r="M38" s="311">
        <f t="shared" ref="M38:M48" si="7">(K38/(1-L38))*(1+$D$9)</f>
        <v>0</v>
      </c>
      <c r="N38" s="378">
        <f>(M38*VLOOKUP($C$9,'Base Costs'!$A$32:$B$37,2,FALSE))</f>
        <v>0</v>
      </c>
      <c r="O38" s="379">
        <f t="shared" ref="O38:O48" si="8">M38-K38</f>
        <v>0</v>
      </c>
      <c r="U38" s="229"/>
    </row>
    <row r="39" spans="1:27" ht="15" customHeight="1" x14ac:dyDescent="0.15">
      <c r="A39" s="215">
        <v>257</v>
      </c>
      <c r="C39" s="269" t="s">
        <v>36</v>
      </c>
      <c r="D39" s="242"/>
      <c r="E39" s="309" t="s">
        <v>184</v>
      </c>
      <c r="F39" s="28"/>
      <c r="G39" s="28"/>
      <c r="H39" s="28"/>
      <c r="I39" s="28"/>
      <c r="J39" s="385">
        <f>VLOOKUP(E39,'Base Costs'!$A$4:$B$16,2,FALSE)</f>
        <v>0</v>
      </c>
      <c r="K39" s="378">
        <f t="shared" si="6"/>
        <v>0</v>
      </c>
      <c r="L39" s="392">
        <v>0.33</v>
      </c>
      <c r="M39" s="311">
        <f t="shared" si="7"/>
        <v>0</v>
      </c>
      <c r="N39" s="378">
        <f>(M39*VLOOKUP($C$9,'Base Costs'!$A$32:$B$37,2,FALSE))</f>
        <v>0</v>
      </c>
      <c r="O39" s="379">
        <f t="shared" si="8"/>
        <v>0</v>
      </c>
      <c r="U39" s="229"/>
    </row>
    <row r="40" spans="1:27" ht="15" customHeight="1" x14ac:dyDescent="0.15">
      <c r="A40" s="215">
        <v>257</v>
      </c>
      <c r="C40" s="269" t="s">
        <v>36</v>
      </c>
      <c r="D40" s="242"/>
      <c r="E40" s="309" t="s">
        <v>184</v>
      </c>
      <c r="F40" s="28"/>
      <c r="G40" s="28"/>
      <c r="H40" s="28"/>
      <c r="I40" s="28"/>
      <c r="J40" s="385">
        <f>VLOOKUP(E40,'Base Costs'!$A$4:$B$16,2,FALSE)</f>
        <v>0</v>
      </c>
      <c r="K40" s="378">
        <f t="shared" si="6"/>
        <v>0</v>
      </c>
      <c r="L40" s="392">
        <v>0.33</v>
      </c>
      <c r="M40" s="311">
        <f t="shared" si="7"/>
        <v>0</v>
      </c>
      <c r="N40" s="378">
        <f>(M40*VLOOKUP($C$9,'Base Costs'!$A$32:$B$37,2,FALSE))</f>
        <v>0</v>
      </c>
      <c r="O40" s="379">
        <f t="shared" si="8"/>
        <v>0</v>
      </c>
      <c r="U40" s="229"/>
    </row>
    <row r="41" spans="1:27" ht="15" customHeight="1" x14ac:dyDescent="0.15">
      <c r="A41" s="215">
        <v>400</v>
      </c>
      <c r="C41" s="269" t="s">
        <v>16</v>
      </c>
      <c r="D41" s="242"/>
      <c r="E41" s="28" t="s">
        <v>137</v>
      </c>
      <c r="F41" s="28"/>
      <c r="G41" s="28"/>
      <c r="H41" s="28"/>
      <c r="I41" s="28"/>
      <c r="J41" s="385">
        <v>450</v>
      </c>
      <c r="K41" s="378">
        <f t="shared" si="6"/>
        <v>0</v>
      </c>
      <c r="L41" s="392">
        <v>0.33</v>
      </c>
      <c r="M41" s="311">
        <f t="shared" si="7"/>
        <v>0</v>
      </c>
      <c r="N41" s="378">
        <f>(M41*VLOOKUP($C$9,'Base Costs'!$A$32:$B$37,2,FALSE))</f>
        <v>0</v>
      </c>
      <c r="O41" s="379">
        <f t="shared" si="8"/>
        <v>0</v>
      </c>
      <c r="U41" s="229"/>
    </row>
    <row r="42" spans="1:27" ht="15" customHeight="1" x14ac:dyDescent="0.15">
      <c r="A42" s="215">
        <v>102</v>
      </c>
      <c r="C42" s="269" t="s">
        <v>13</v>
      </c>
      <c r="D42" s="242">
        <v>1</v>
      </c>
      <c r="E42" s="28" t="s">
        <v>1323</v>
      </c>
      <c r="F42" s="28"/>
      <c r="G42" s="28"/>
      <c r="H42" s="28"/>
      <c r="I42" s="28"/>
      <c r="J42" s="385">
        <v>15</v>
      </c>
      <c r="K42" s="378">
        <f t="shared" si="6"/>
        <v>15</v>
      </c>
      <c r="L42" s="392">
        <v>0.33</v>
      </c>
      <c r="M42" s="311">
        <f t="shared" si="7"/>
        <v>22.388059701492541</v>
      </c>
      <c r="N42" s="378">
        <f>(M42*VLOOKUP($C$9,'Base Costs'!$A$32:$B$37,2,FALSE))</f>
        <v>22.388059701492541</v>
      </c>
      <c r="O42" s="379">
        <f t="shared" si="8"/>
        <v>7.3880597014925407</v>
      </c>
      <c r="U42" s="229"/>
    </row>
    <row r="43" spans="1:27" ht="15" customHeight="1" x14ac:dyDescent="0.15">
      <c r="A43" s="215">
        <v>400</v>
      </c>
      <c r="C43" s="269" t="s">
        <v>135</v>
      </c>
      <c r="D43" s="242">
        <v>1</v>
      </c>
      <c r="E43" s="28" t="s">
        <v>1325</v>
      </c>
      <c r="F43" s="28"/>
      <c r="G43" s="28"/>
      <c r="H43" s="28"/>
      <c r="I43" s="28"/>
      <c r="J43" s="385">
        <v>152.5</v>
      </c>
      <c r="K43" s="378">
        <f t="shared" si="6"/>
        <v>152.5</v>
      </c>
      <c r="L43" s="392">
        <v>0.4</v>
      </c>
      <c r="M43" s="311">
        <f t="shared" si="7"/>
        <v>254.16666666666669</v>
      </c>
      <c r="N43" s="378">
        <f>(M43*VLOOKUP($C$9,'Base Costs'!$A$32:$B$37,2,FALSE))</f>
        <v>254.16666666666669</v>
      </c>
      <c r="O43" s="379">
        <f t="shared" si="8"/>
        <v>101.66666666666669</v>
      </c>
      <c r="U43" s="229"/>
    </row>
    <row r="44" spans="1:27" ht="15" customHeight="1" x14ac:dyDescent="0.15">
      <c r="A44" s="215">
        <v>400</v>
      </c>
      <c r="C44" s="269" t="s">
        <v>136</v>
      </c>
      <c r="D44" s="242"/>
      <c r="E44" s="28" t="s">
        <v>1325</v>
      </c>
      <c r="F44" s="28"/>
      <c r="G44" s="28"/>
      <c r="H44" s="28"/>
      <c r="I44" s="28"/>
      <c r="J44" s="385">
        <v>861</v>
      </c>
      <c r="K44" s="378">
        <f t="shared" si="6"/>
        <v>0</v>
      </c>
      <c r="L44" s="392">
        <v>0.4</v>
      </c>
      <c r="M44" s="311">
        <f t="shared" si="7"/>
        <v>0</v>
      </c>
      <c r="N44" s="378">
        <f>(M44*VLOOKUP($C$9,'Base Costs'!$A$32:$B$37,2,FALSE))</f>
        <v>0</v>
      </c>
      <c r="O44" s="379">
        <f t="shared" si="8"/>
        <v>0</v>
      </c>
      <c r="U44" s="229"/>
    </row>
    <row r="45" spans="1:27" ht="15" customHeight="1" x14ac:dyDescent="0.15">
      <c r="A45" s="215">
        <v>253</v>
      </c>
      <c r="C45" s="269" t="s">
        <v>539</v>
      </c>
      <c r="D45" s="242"/>
      <c r="E45" s="28" t="s">
        <v>139</v>
      </c>
      <c r="F45" s="28"/>
      <c r="G45" s="28"/>
      <c r="H45" s="28"/>
      <c r="I45" s="28"/>
      <c r="J45" s="385"/>
      <c r="K45" s="378">
        <f t="shared" si="6"/>
        <v>0</v>
      </c>
      <c r="L45" s="392">
        <v>0.33</v>
      </c>
      <c r="M45" s="311">
        <f t="shared" si="7"/>
        <v>0</v>
      </c>
      <c r="N45" s="378">
        <f>(M45*VLOOKUP($C$9,'Base Costs'!$A$32:$B$37,2,FALSE))</f>
        <v>0</v>
      </c>
      <c r="O45" s="379">
        <f t="shared" si="8"/>
        <v>0</v>
      </c>
      <c r="U45" s="229"/>
    </row>
    <row r="46" spans="1:27" ht="15" customHeight="1" x14ac:dyDescent="0.15">
      <c r="A46" s="215">
        <v>253</v>
      </c>
      <c r="C46" s="269" t="s">
        <v>12</v>
      </c>
      <c r="D46" s="242"/>
      <c r="E46" s="28" t="s">
        <v>139</v>
      </c>
      <c r="F46" s="28"/>
      <c r="G46" s="28"/>
      <c r="H46" s="28"/>
      <c r="I46" s="28"/>
      <c r="J46" s="385">
        <v>170</v>
      </c>
      <c r="K46" s="378">
        <f t="shared" si="6"/>
        <v>0</v>
      </c>
      <c r="L46" s="392">
        <v>0.33</v>
      </c>
      <c r="M46" s="311">
        <f t="shared" si="7"/>
        <v>0</v>
      </c>
      <c r="N46" s="378">
        <f>(M46*VLOOKUP($C$9,'Base Costs'!$A$32:$B$37,2,FALSE))</f>
        <v>0</v>
      </c>
      <c r="O46" s="379">
        <f t="shared" si="8"/>
        <v>0</v>
      </c>
      <c r="U46" s="229"/>
    </row>
    <row r="47" spans="1:27" ht="15" customHeight="1" x14ac:dyDescent="0.15">
      <c r="A47" s="215">
        <v>280</v>
      </c>
      <c r="C47" s="269" t="s">
        <v>32</v>
      </c>
      <c r="D47" s="242"/>
      <c r="E47" s="28" t="s">
        <v>140</v>
      </c>
      <c r="F47" s="28"/>
      <c r="G47" s="28"/>
      <c r="H47" s="28"/>
      <c r="I47" s="28"/>
      <c r="J47" s="385">
        <v>604</v>
      </c>
      <c r="K47" s="378">
        <f t="shared" si="6"/>
        <v>0</v>
      </c>
      <c r="L47" s="392">
        <v>0.33</v>
      </c>
      <c r="M47" s="311">
        <f>(K47/(1-L47))*(1+$D$9)</f>
        <v>0</v>
      </c>
      <c r="N47" s="378">
        <f>(M47*VLOOKUP($C$9,'Base Costs'!$A$32:$B$37,2,FALSE))</f>
        <v>0</v>
      </c>
      <c r="O47" s="379">
        <f>M47-K47</f>
        <v>0</v>
      </c>
      <c r="U47" s="229"/>
    </row>
    <row r="48" spans="1:27" ht="15" customHeight="1" x14ac:dyDescent="0.15">
      <c r="A48" s="215">
        <v>284</v>
      </c>
      <c r="C48" s="269"/>
      <c r="D48" s="242"/>
      <c r="E48" s="28" t="s">
        <v>201</v>
      </c>
      <c r="F48" s="28"/>
      <c r="G48" s="28"/>
      <c r="H48" s="28"/>
      <c r="I48" s="28"/>
      <c r="J48" s="385">
        <v>200</v>
      </c>
      <c r="K48" s="378">
        <f t="shared" si="6"/>
        <v>0</v>
      </c>
      <c r="L48" s="392">
        <v>0.33</v>
      </c>
      <c r="M48" s="311">
        <f t="shared" si="7"/>
        <v>0</v>
      </c>
      <c r="N48" s="378">
        <f>(M48*VLOOKUP($C$9,'Base Costs'!$A$32:$B$37,2,FALSE))</f>
        <v>0</v>
      </c>
      <c r="O48" s="379">
        <f t="shared" si="8"/>
        <v>0</v>
      </c>
      <c r="U48" s="229"/>
    </row>
    <row r="49" spans="3:21" ht="15" customHeight="1" x14ac:dyDescent="0.15">
      <c r="C49" s="239"/>
      <c r="D49" s="239"/>
      <c r="E49" s="239"/>
      <c r="F49" s="239"/>
      <c r="G49" s="239"/>
      <c r="H49" s="243"/>
      <c r="I49" s="244"/>
      <c r="J49" s="354"/>
      <c r="K49" s="353"/>
      <c r="L49" s="355"/>
      <c r="M49" s="353"/>
      <c r="N49" s="353"/>
      <c r="U49" s="229"/>
    </row>
    <row r="50" spans="3:21" ht="15" customHeight="1" x14ac:dyDescent="0.2">
      <c r="C50" s="197" t="s">
        <v>121</v>
      </c>
      <c r="D50" s="198"/>
      <c r="E50" s="199"/>
      <c r="F50" s="199"/>
      <c r="G50" s="198"/>
      <c r="H50" s="200"/>
      <c r="I50" s="198"/>
      <c r="J50" s="198"/>
      <c r="K50" s="198"/>
      <c r="L50" s="198"/>
      <c r="M50" s="198"/>
      <c r="N50" s="198"/>
      <c r="O50" s="198"/>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5"/>
      <c r="L52" s="205"/>
      <c r="M52" s="205"/>
      <c r="N52" s="205"/>
      <c r="O52" s="205"/>
      <c r="U52" s="229"/>
    </row>
    <row r="53" spans="3:21" ht="15" customHeight="1" x14ac:dyDescent="0.2">
      <c r="C53" s="202"/>
      <c r="D53" s="203"/>
      <c r="E53" s="202"/>
      <c r="F53" s="204"/>
      <c r="G53" s="202"/>
      <c r="H53" s="209"/>
      <c r="I53" s="203"/>
      <c r="J53" s="203"/>
      <c r="K53" s="209"/>
      <c r="L53" s="209"/>
      <c r="M53" s="209"/>
      <c r="N53" s="209"/>
      <c r="O53" s="209"/>
      <c r="U53" s="229"/>
    </row>
    <row r="54" spans="3:21" ht="15" customHeight="1" x14ac:dyDescent="0.2">
      <c r="C54" s="202"/>
      <c r="D54" s="203"/>
      <c r="E54" s="202"/>
      <c r="F54" s="204"/>
      <c r="G54" s="202"/>
      <c r="H54" s="209"/>
      <c r="I54" s="206"/>
      <c r="J54" s="203"/>
      <c r="K54" s="209"/>
      <c r="L54" s="209"/>
      <c r="M54" s="209"/>
      <c r="N54" s="209"/>
      <c r="O54" s="209"/>
      <c r="U54" s="229"/>
    </row>
    <row r="55" spans="3:21" ht="15" customHeight="1" x14ac:dyDescent="0.2">
      <c r="C55" s="202"/>
      <c r="D55" s="203"/>
      <c r="E55" s="202"/>
      <c r="F55" s="202"/>
      <c r="G55" s="202"/>
      <c r="H55" s="207"/>
      <c r="I55" s="209"/>
      <c r="J55" s="203"/>
      <c r="K55" s="205"/>
      <c r="L55" s="205"/>
      <c r="M55" s="205"/>
      <c r="N55" s="205"/>
      <c r="O55" s="205"/>
      <c r="U55" s="229"/>
    </row>
    <row r="56" spans="3:21" ht="15" customHeight="1" x14ac:dyDescent="0.2">
      <c r="C56" s="202"/>
      <c r="D56" s="202"/>
      <c r="E56" s="202"/>
      <c r="F56" s="202"/>
      <c r="G56" s="202"/>
      <c r="H56" s="207"/>
      <c r="I56" s="209"/>
      <c r="J56" s="203"/>
      <c r="K56" s="205"/>
      <c r="L56" s="205"/>
      <c r="M56" s="205"/>
      <c r="N56" s="205"/>
      <c r="O56" s="205"/>
      <c r="U56" s="229"/>
    </row>
    <row r="57" spans="3:21" ht="15" customHeight="1" x14ac:dyDescent="0.15">
      <c r="J57" s="228"/>
      <c r="M57" s="228"/>
      <c r="O57" s="228"/>
      <c r="U57" s="229"/>
    </row>
    <row r="58" spans="3:21" ht="15" customHeight="1" x14ac:dyDescent="0.15">
      <c r="J58" s="228"/>
      <c r="M58" s="228"/>
      <c r="O58" s="228"/>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H67" s="219"/>
      <c r="U67" s="229"/>
    </row>
    <row r="68" spans="3:21" ht="15" customHeight="1" x14ac:dyDescent="0.15">
      <c r="C68" s="245"/>
      <c r="D68" s="245"/>
      <c r="E68" s="245"/>
      <c r="F68" s="245"/>
      <c r="G68" s="245"/>
      <c r="H68" s="24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row r="161" spans="21:21" ht="15" customHeight="1" x14ac:dyDescent="0.15">
      <c r="U161" s="229"/>
    </row>
  </sheetData>
  <protectedRanges>
    <protectedRange sqref="C12:C14 O10:O11 O38:O49 D38:E48 J38:J48 O36 H33:I34 H36:J36 I4:J7 I8:K8 D13:H14 F15:H28 I13:I32 C25 F31:H32 D15:E19 D21:E34 E20 J13:J34 O14:O34"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1:G56 C51:C55 K56:O56" name="Full" securityDescriptor="O:WDG:WDD:(A;;CC;;;S-1-5-21-1993962763-879983540-839522115-1156)"/>
    <protectedRange sqref="C56:D56" name="Full_2" securityDescriptor="O:WDG:WDD:(A;;CC;;;S-1-5-21-1993962763-879983540-839522115-1156)"/>
    <protectedRange sqref="D3:E3" name="Estimating_1_3_2" securityDescriptor="O:WDG:WDD:(A;;CC;;;S-1-5-21-1993962763-879983540-839522115-1221)"/>
    <protectedRange sqref="D20" name="Estimating_3" securityDescriptor="O:WDG:WDD:(A;;CC;;;S-1-5-21-1993962763-879983540-839522115-1221)"/>
  </protectedRanges>
  <mergeCells count="9">
    <mergeCell ref="P7:R7"/>
    <mergeCell ref="C37:H37"/>
    <mergeCell ref="C1:D1"/>
    <mergeCell ref="D3:E3"/>
    <mergeCell ref="H3:J3"/>
    <mergeCell ref="D5:E5"/>
    <mergeCell ref="H5:J5"/>
    <mergeCell ref="D7:E7"/>
    <mergeCell ref="H7:J7"/>
  </mergeCells>
  <phoneticPr fontId="111" type="noConversion"/>
  <conditionalFormatting sqref="C9">
    <cfRule type="expression" dxfId="334" priority="79">
      <formula>C9="CURRENCY"</formula>
    </cfRule>
    <cfRule type="containsText" dxfId="333" priority="78" operator="containsText" text="SELECT">
      <formula>NOT(ISERROR(SEARCH("SELECT",C9)))</formula>
    </cfRule>
  </conditionalFormatting>
  <conditionalFormatting sqref="C14:C34">
    <cfRule type="expression" dxfId="332" priority="1">
      <formula>$J14&gt;0</formula>
    </cfRule>
  </conditionalFormatting>
  <conditionalFormatting sqref="C38:C48">
    <cfRule type="expression" dxfId="331" priority="20">
      <formula>$D38&gt;0</formula>
    </cfRule>
  </conditionalFormatting>
  <conditionalFormatting sqref="D38:D39 D41:D48">
    <cfRule type="cellIs" dxfId="330" priority="81" operator="lessThan">
      <formula>1</formula>
    </cfRule>
  </conditionalFormatting>
  <conditionalFormatting sqref="D40">
    <cfRule type="cellIs" dxfId="329" priority="68" operator="lessThan">
      <formula>1</formula>
    </cfRule>
  </conditionalFormatting>
  <conditionalFormatting sqref="D9:E9">
    <cfRule type="cellIs" dxfId="328" priority="75" operator="greaterThan">
      <formula>0</formula>
    </cfRule>
    <cfRule type="cellIs" dxfId="327" priority="74" operator="lessThan">
      <formula>0</formula>
    </cfRule>
  </conditionalFormatting>
  <conditionalFormatting sqref="F12">
    <cfRule type="cellIs" dxfId="326" priority="92" operator="greaterThan">
      <formula>2000</formula>
    </cfRule>
    <cfRule type="expression" dxfId="325" priority="91">
      <formula>ISNUMBER(SEARCH("I-MUAP",$E$14))</formula>
    </cfRule>
    <cfRule type="expression" dxfId="324" priority="90">
      <formula>AND((ISNUMBER(SEARCH("I-MUAP",$E$14))),F12&lt;2500)</formula>
    </cfRule>
  </conditionalFormatting>
  <conditionalFormatting sqref="F12:G12">
    <cfRule type="cellIs" dxfId="323" priority="85" operator="lessThan">
      <formula>1000</formula>
    </cfRule>
  </conditionalFormatting>
  <conditionalFormatting sqref="F14:G28">
    <cfRule type="cellIs" dxfId="322" priority="12" operator="lessThan">
      <formula>1000</formula>
    </cfRule>
  </conditionalFormatting>
  <conditionalFormatting sqref="F31:G32">
    <cfRule type="cellIs" dxfId="321" priority="5" operator="lessThan">
      <formula>1000</formula>
    </cfRule>
  </conditionalFormatting>
  <conditionalFormatting sqref="G12">
    <cfRule type="cellIs" dxfId="320" priority="86" operator="greaterThan">
      <formula>3001</formula>
    </cfRule>
  </conditionalFormatting>
  <conditionalFormatting sqref="H11">
    <cfRule type="expression" dxfId="319" priority="88">
      <formula>((G14-50)/I14)&lt;950</formula>
    </cfRule>
  </conditionalFormatting>
  <conditionalFormatting sqref="H12">
    <cfRule type="expression" dxfId="318" priority="87">
      <formula>((G14-50)/I14)&lt;950</formula>
    </cfRule>
  </conditionalFormatting>
  <conditionalFormatting sqref="H14:H28">
    <cfRule type="cellIs" dxfId="317" priority="14" operator="lessThan">
      <formula>400</formula>
    </cfRule>
  </conditionalFormatting>
  <conditionalFormatting sqref="H31:H32">
    <cfRule type="cellIs" dxfId="316" priority="7" operator="lessThan">
      <formula>400</formula>
    </cfRule>
  </conditionalFormatting>
  <conditionalFormatting sqref="H35">
    <cfRule type="expression" dxfId="315" priority="99">
      <formula>((#REF!-50)/#REF!)&lt;950</formula>
    </cfRule>
  </conditionalFormatting>
  <conditionalFormatting sqref="J14:J32">
    <cfRule type="cellIs" dxfId="314" priority="27" operator="greaterThan">
      <formula>0</formula>
    </cfRule>
  </conditionalFormatting>
  <conditionalFormatting sqref="J38:J48">
    <cfRule type="expression" dxfId="313" priority="60">
      <formula>D38&gt;0</formula>
    </cfRule>
  </conditionalFormatting>
  <conditionalFormatting sqref="J50:J56">
    <cfRule type="expression" dxfId="312" priority="65">
      <formula>#REF!="EURO"</formula>
    </cfRule>
  </conditionalFormatting>
  <conditionalFormatting sqref="K14:K34">
    <cfRule type="cellIs" dxfId="311" priority="10" operator="greaterThan">
      <formula>0</formula>
    </cfRule>
  </conditionalFormatting>
  <conditionalFormatting sqref="K38:K48">
    <cfRule type="cellIs" dxfId="310" priority="67" operator="greaterThan">
      <formula>0</formula>
    </cfRule>
  </conditionalFormatting>
  <conditionalFormatting sqref="K50:K56">
    <cfRule type="expression" dxfId="309" priority="61">
      <formula>$C$9="PLN"</formula>
    </cfRule>
    <cfRule type="expression" dxfId="308" priority="62">
      <formula>$C$9="CZK"</formula>
    </cfRule>
    <cfRule type="expression" dxfId="307" priority="63">
      <formula>$C$9="USD"</formula>
    </cfRule>
    <cfRule type="expression" dxfId="306" priority="64">
      <formula>$C$9="EURO"</formula>
    </cfRule>
  </conditionalFormatting>
  <conditionalFormatting sqref="L14:L34">
    <cfRule type="expression" dxfId="305" priority="26">
      <formula>$D$9&gt;0</formula>
    </cfRule>
    <cfRule type="expression" dxfId="304" priority="25">
      <formula>$D$9&lt;0</formula>
    </cfRule>
  </conditionalFormatting>
  <conditionalFormatting sqref="L38:L48">
    <cfRule type="expression" dxfId="303" priority="24">
      <formula>$D$9&gt;0</formula>
    </cfRule>
    <cfRule type="expression" dxfId="302" priority="23">
      <formula>$D$9&lt;0</formula>
    </cfRule>
  </conditionalFormatting>
  <conditionalFormatting sqref="N9 N12">
    <cfRule type="expression" dxfId="301" priority="93">
      <formula>$C$9="PLN"</formula>
    </cfRule>
    <cfRule type="expression" dxfId="300" priority="94">
      <formula>$C$9="CZK"</formula>
    </cfRule>
    <cfRule type="expression" dxfId="299" priority="95">
      <formula>$C$9="USD"</formula>
    </cfRule>
    <cfRule type="expression" dxfId="298" priority="96">
      <formula>$C$9="EURO"</formula>
    </cfRule>
  </conditionalFormatting>
  <conditionalFormatting sqref="N14:N34">
    <cfRule type="expression" dxfId="297" priority="32">
      <formula>$C$9="CZK"</formula>
    </cfRule>
    <cfRule type="expression" dxfId="296" priority="31">
      <formula>$C$9="PLN"</formula>
    </cfRule>
    <cfRule type="expression" dxfId="295" priority="34">
      <formula>$C$9="EURO"</formula>
    </cfRule>
    <cfRule type="expression" dxfId="294" priority="33">
      <formula>$C$9="USD"</formula>
    </cfRule>
  </conditionalFormatting>
  <conditionalFormatting sqref="N18:N22">
    <cfRule type="cellIs" dxfId="293" priority="42" operator="greaterThan">
      <formula>0</formula>
    </cfRule>
  </conditionalFormatting>
  <conditionalFormatting sqref="N37:N48">
    <cfRule type="expression" dxfId="292" priority="19">
      <formula>$C$9="EURO"</formula>
    </cfRule>
    <cfRule type="expression" dxfId="291" priority="18">
      <formula>$C$9="USD"</formula>
    </cfRule>
    <cfRule type="expression" dxfId="290" priority="17">
      <formula>$C$9="CZK"</formula>
    </cfRule>
    <cfRule type="expression" dxfId="289" priority="16">
      <formula>$C$9="PLN"</formula>
    </cfRule>
  </conditionalFormatting>
  <conditionalFormatting sqref="N14:O34">
    <cfRule type="cellIs" dxfId="288" priority="30" operator="greaterThan">
      <formula>0</formula>
    </cfRule>
  </conditionalFormatting>
  <conditionalFormatting sqref="N38:O48">
    <cfRule type="cellIs" dxfId="287" priority="15" operator="greaterThan">
      <formula>0</formula>
    </cfRule>
  </conditionalFormatting>
  <conditionalFormatting sqref="O14:O22">
    <cfRule type="cellIs" dxfId="286" priority="47" operator="greaterThan">
      <formula>0</formula>
    </cfRule>
  </conditionalFormatting>
  <dataValidations count="3">
    <dataValidation type="list" allowBlank="1" showInputMessage="1" showErrorMessage="1" sqref="H36" xr:uid="{26A6D105-ED01-4E1D-9109-858E43614469}">
      <formula1>#REF!</formula1>
    </dataValidation>
    <dataValidation operator="greaterThan" allowBlank="1" showInputMessage="1" showErrorMessage="1" sqref="F14:F28 F31:F32" xr:uid="{44F281D2-C285-4A66-8EFF-51D33CBEB26F}"/>
    <dataValidation type="list" allowBlank="1" showInputMessage="1" showErrorMessage="1" sqref="E14:E34" xr:uid="{2B99AC38-3F44-4297-B39F-0D8017FFBE33}">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61"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6FA621D-A280-43DB-AA60-1A60B4E35123}">
          <x14:formula1>
            <xm:f>'Base Costs'!$A$4:$A$16</xm:f>
          </x14:formula1>
          <xm:sqref>E39:E40</xm:sqref>
        </x14:dataValidation>
        <x14:dataValidation type="list" allowBlank="1" showInputMessage="1" showErrorMessage="1" xr:uid="{82E1C77F-D7D1-4983-BB64-8F20C78951C2}">
          <x14:formula1>
            <xm:f>'Base Costs'!$E$4:$E$213</xm:f>
          </x14:formula1>
          <xm:sqref>E38</xm:sqref>
        </x14:dataValidation>
        <x14:dataValidation type="list" allowBlank="1" showInputMessage="1" showErrorMessage="1" xr:uid="{6CC6D9C5-2F9C-4046-85CE-BC3DEB171BA7}">
          <x14:formula1>
            <xm:f>'Base Costs'!$A$32:$A$37</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79998168889431442"/>
    <pageSetUpPr fitToPage="1"/>
  </sheetPr>
  <dimension ref="B1:AI203"/>
  <sheetViews>
    <sheetView zoomScale="80" zoomScaleNormal="80" workbookViewId="0">
      <selection activeCell="O30" sqref="O30"/>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5" style="56" customWidth="1"/>
    <col min="10" max="10" width="9.83203125" style="362" hidden="1" customWidth="1"/>
    <col min="11" max="11" width="17" style="362" customWidth="1"/>
    <col min="12" max="12" width="13.1640625" style="362" bestFit="1" customWidth="1"/>
    <col min="13" max="13" width="15.33203125" style="55" customWidth="1"/>
    <col min="14" max="14" width="2.33203125" style="55" customWidth="1"/>
    <col min="15" max="15" width="12.5" style="55" customWidth="1"/>
    <col min="16" max="236" width="9.1640625" style="55"/>
    <col min="237" max="237" width="25.6640625" style="55" customWidth="1"/>
    <col min="238" max="238" width="9" style="55" customWidth="1"/>
    <col min="239" max="239" width="22" style="55" customWidth="1"/>
    <col min="240" max="240" width="4.5" style="55" customWidth="1"/>
    <col min="241" max="241" width="13.33203125" style="55" customWidth="1"/>
    <col min="242" max="242" width="14.1640625" style="55" customWidth="1"/>
    <col min="243" max="243" width="9.33203125" style="55" customWidth="1"/>
    <col min="244" max="244" width="11.1640625" style="55" customWidth="1"/>
    <col min="245" max="245" width="9.1640625" style="55"/>
    <col min="246" max="246" width="10.33203125" style="55" customWidth="1"/>
    <col min="247" max="247" width="7.6640625" style="55" customWidth="1"/>
    <col min="248" max="248" width="12.6640625" style="55" customWidth="1"/>
    <col min="249" max="249" width="10.6640625" style="55" customWidth="1"/>
    <col min="250" max="250" width="12.83203125" style="55" customWidth="1"/>
    <col min="251" max="251" width="10.83203125" style="55" customWidth="1"/>
    <col min="252" max="252" width="12.5" style="55" customWidth="1"/>
    <col min="253" max="253" width="10.5" style="55" customWidth="1"/>
    <col min="254" max="254" width="13.1640625" style="55" customWidth="1"/>
    <col min="255" max="255" width="9.83203125" style="55" customWidth="1"/>
    <col min="256" max="256" width="13.6640625" style="55" customWidth="1"/>
    <col min="257" max="257" width="9.5" style="55" customWidth="1"/>
    <col min="258" max="258" width="12.5" style="55" customWidth="1"/>
    <col min="259" max="259" width="10" style="55" customWidth="1"/>
    <col min="260" max="260" width="13" style="55" customWidth="1"/>
    <col min="261" max="261" width="11" style="55" customWidth="1"/>
    <col min="262" max="262" width="13.83203125" style="55" customWidth="1"/>
    <col min="263" max="263" width="11.33203125" style="55" customWidth="1"/>
    <col min="264" max="264" width="13" style="55" customWidth="1"/>
    <col min="265" max="265" width="9" style="55" customWidth="1"/>
    <col min="266" max="266" width="3.83203125" style="55" customWidth="1"/>
    <col min="267" max="267" width="18.5" style="55" customWidth="1"/>
    <col min="268" max="268" width="10" style="55" customWidth="1"/>
    <col min="269" max="492" width="9.1640625" style="55"/>
    <col min="493" max="493" width="25.6640625" style="55" customWidth="1"/>
    <col min="494" max="494" width="9" style="55" customWidth="1"/>
    <col min="495" max="495" width="22" style="55" customWidth="1"/>
    <col min="496" max="496" width="4.5" style="55" customWidth="1"/>
    <col min="497" max="497" width="13.33203125" style="55" customWidth="1"/>
    <col min="498" max="498" width="14.1640625" style="55" customWidth="1"/>
    <col min="499" max="499" width="9.33203125" style="55" customWidth="1"/>
    <col min="500" max="500" width="11.1640625" style="55" customWidth="1"/>
    <col min="501" max="501" width="9.1640625" style="55"/>
    <col min="502" max="502" width="10.33203125" style="55" customWidth="1"/>
    <col min="503" max="503" width="7.6640625" style="55" customWidth="1"/>
    <col min="504" max="504" width="12.6640625" style="55" customWidth="1"/>
    <col min="505" max="505" width="10.6640625" style="55" customWidth="1"/>
    <col min="506" max="506" width="12.83203125" style="55" customWidth="1"/>
    <col min="507" max="507" width="10.83203125" style="55" customWidth="1"/>
    <col min="508" max="508" width="12.5" style="55" customWidth="1"/>
    <col min="509" max="509" width="10.5" style="55" customWidth="1"/>
    <col min="510" max="510" width="13.1640625" style="55" customWidth="1"/>
    <col min="511" max="511" width="9.83203125" style="55" customWidth="1"/>
    <col min="512" max="512" width="13.6640625" style="55" customWidth="1"/>
    <col min="513" max="513" width="9.5" style="55" customWidth="1"/>
    <col min="514" max="514" width="12.5" style="55" customWidth="1"/>
    <col min="515" max="515" width="10" style="55" customWidth="1"/>
    <col min="516" max="516" width="13" style="55" customWidth="1"/>
    <col min="517" max="517" width="11" style="55" customWidth="1"/>
    <col min="518" max="518" width="13.83203125" style="55" customWidth="1"/>
    <col min="519" max="519" width="11.33203125" style="55" customWidth="1"/>
    <col min="520" max="520" width="13" style="55" customWidth="1"/>
    <col min="521" max="521" width="9" style="55" customWidth="1"/>
    <col min="522" max="522" width="3.83203125" style="55" customWidth="1"/>
    <col min="523" max="523" width="18.5" style="55" customWidth="1"/>
    <col min="524" max="524" width="10" style="55" customWidth="1"/>
    <col min="525" max="748" width="9.1640625" style="55"/>
    <col min="749" max="749" width="25.6640625" style="55" customWidth="1"/>
    <col min="750" max="750" width="9" style="55" customWidth="1"/>
    <col min="751" max="751" width="22" style="55" customWidth="1"/>
    <col min="752" max="752" width="4.5" style="55" customWidth="1"/>
    <col min="753" max="753" width="13.33203125" style="55" customWidth="1"/>
    <col min="754" max="754" width="14.1640625" style="55" customWidth="1"/>
    <col min="755" max="755" width="9.33203125" style="55" customWidth="1"/>
    <col min="756" max="756" width="11.1640625" style="55" customWidth="1"/>
    <col min="757" max="757" width="9.1640625" style="55"/>
    <col min="758" max="758" width="10.33203125" style="55" customWidth="1"/>
    <col min="759" max="759" width="7.6640625" style="55" customWidth="1"/>
    <col min="760" max="760" width="12.6640625" style="55" customWidth="1"/>
    <col min="761" max="761" width="10.6640625" style="55" customWidth="1"/>
    <col min="762" max="762" width="12.83203125" style="55" customWidth="1"/>
    <col min="763" max="763" width="10.83203125" style="55" customWidth="1"/>
    <col min="764" max="764" width="12.5" style="55" customWidth="1"/>
    <col min="765" max="765" width="10.5" style="55" customWidth="1"/>
    <col min="766" max="766" width="13.1640625" style="55" customWidth="1"/>
    <col min="767" max="767" width="9.83203125" style="55" customWidth="1"/>
    <col min="768" max="768" width="13.6640625" style="55" customWidth="1"/>
    <col min="769" max="769" width="9.5" style="55" customWidth="1"/>
    <col min="770" max="770" width="12.5" style="55" customWidth="1"/>
    <col min="771" max="771" width="10" style="55" customWidth="1"/>
    <col min="772" max="772" width="13" style="55" customWidth="1"/>
    <col min="773" max="773" width="11" style="55" customWidth="1"/>
    <col min="774" max="774" width="13.83203125" style="55" customWidth="1"/>
    <col min="775" max="775" width="11.33203125" style="55" customWidth="1"/>
    <col min="776" max="776" width="13" style="55" customWidth="1"/>
    <col min="777" max="777" width="9" style="55" customWidth="1"/>
    <col min="778" max="778" width="3.83203125" style="55" customWidth="1"/>
    <col min="779" max="779" width="18.5" style="55" customWidth="1"/>
    <col min="780" max="780" width="10" style="55" customWidth="1"/>
    <col min="781" max="1004" width="9.1640625" style="55"/>
    <col min="1005" max="1005" width="25.6640625" style="55" customWidth="1"/>
    <col min="1006" max="1006" width="9" style="55" customWidth="1"/>
    <col min="1007" max="1007" width="22" style="55" customWidth="1"/>
    <col min="1008" max="1008" width="4.5" style="55" customWidth="1"/>
    <col min="1009" max="1009" width="13.33203125" style="55" customWidth="1"/>
    <col min="1010" max="1010" width="14.1640625" style="55" customWidth="1"/>
    <col min="1011" max="1011" width="9.33203125" style="55" customWidth="1"/>
    <col min="1012" max="1012" width="11.1640625" style="55" customWidth="1"/>
    <col min="1013" max="1013" width="9.1640625" style="55"/>
    <col min="1014" max="1014" width="10.33203125" style="55" customWidth="1"/>
    <col min="1015" max="1015" width="7.6640625" style="55" customWidth="1"/>
    <col min="1016" max="1016" width="12.6640625" style="55" customWidth="1"/>
    <col min="1017" max="1017" width="10.6640625" style="55" customWidth="1"/>
    <col min="1018" max="1018" width="12.83203125" style="55" customWidth="1"/>
    <col min="1019" max="1019" width="10.83203125" style="55" customWidth="1"/>
    <col min="1020" max="1020" width="12.5" style="55" customWidth="1"/>
    <col min="1021" max="1021" width="10.5" style="55" customWidth="1"/>
    <col min="1022" max="1022" width="13.1640625" style="55" customWidth="1"/>
    <col min="1023" max="1023" width="9.83203125" style="55" customWidth="1"/>
    <col min="1024" max="1024" width="13.6640625" style="55" customWidth="1"/>
    <col min="1025" max="1025" width="9.5" style="55" customWidth="1"/>
    <col min="1026" max="1026" width="12.5" style="55" customWidth="1"/>
    <col min="1027" max="1027" width="10" style="55" customWidth="1"/>
    <col min="1028" max="1028" width="13" style="55" customWidth="1"/>
    <col min="1029" max="1029" width="11" style="55" customWidth="1"/>
    <col min="1030" max="1030" width="13.83203125" style="55" customWidth="1"/>
    <col min="1031" max="1031" width="11.33203125" style="55" customWidth="1"/>
    <col min="1032" max="1032" width="13" style="55" customWidth="1"/>
    <col min="1033" max="1033" width="9" style="55" customWidth="1"/>
    <col min="1034" max="1034" width="3.83203125" style="55" customWidth="1"/>
    <col min="1035" max="1035" width="18.5" style="55" customWidth="1"/>
    <col min="1036" max="1036" width="10" style="55" customWidth="1"/>
    <col min="1037" max="1260" width="9.1640625" style="55"/>
    <col min="1261" max="1261" width="25.6640625" style="55" customWidth="1"/>
    <col min="1262" max="1262" width="9" style="55" customWidth="1"/>
    <col min="1263" max="1263" width="22" style="55" customWidth="1"/>
    <col min="1264" max="1264" width="4.5" style="55" customWidth="1"/>
    <col min="1265" max="1265" width="13.33203125" style="55" customWidth="1"/>
    <col min="1266" max="1266" width="14.1640625" style="55" customWidth="1"/>
    <col min="1267" max="1267" width="9.33203125" style="55" customWidth="1"/>
    <col min="1268" max="1268" width="11.1640625" style="55" customWidth="1"/>
    <col min="1269" max="1269" width="9.1640625" style="55"/>
    <col min="1270" max="1270" width="10.33203125" style="55" customWidth="1"/>
    <col min="1271" max="1271" width="7.6640625" style="55" customWidth="1"/>
    <col min="1272" max="1272" width="12.6640625" style="55" customWidth="1"/>
    <col min="1273" max="1273" width="10.6640625" style="55" customWidth="1"/>
    <col min="1274" max="1274" width="12.83203125" style="55" customWidth="1"/>
    <col min="1275" max="1275" width="10.83203125" style="55" customWidth="1"/>
    <col min="1276" max="1276" width="12.5" style="55" customWidth="1"/>
    <col min="1277" max="1277" width="10.5" style="55" customWidth="1"/>
    <col min="1278" max="1278" width="13.1640625" style="55" customWidth="1"/>
    <col min="1279" max="1279" width="9.83203125" style="55" customWidth="1"/>
    <col min="1280" max="1280" width="13.6640625" style="55" customWidth="1"/>
    <col min="1281" max="1281" width="9.5" style="55" customWidth="1"/>
    <col min="1282" max="1282" width="12.5" style="55" customWidth="1"/>
    <col min="1283" max="1283" width="10" style="55" customWidth="1"/>
    <col min="1284" max="1284" width="13" style="55" customWidth="1"/>
    <col min="1285" max="1285" width="11" style="55" customWidth="1"/>
    <col min="1286" max="1286" width="13.83203125" style="55" customWidth="1"/>
    <col min="1287" max="1287" width="11.33203125" style="55" customWidth="1"/>
    <col min="1288" max="1288" width="13" style="55" customWidth="1"/>
    <col min="1289" max="1289" width="9" style="55" customWidth="1"/>
    <col min="1290" max="1290" width="3.83203125" style="55" customWidth="1"/>
    <col min="1291" max="1291" width="18.5" style="55" customWidth="1"/>
    <col min="1292" max="1292" width="10" style="55" customWidth="1"/>
    <col min="1293" max="1516" width="9.1640625" style="55"/>
    <col min="1517" max="1517" width="25.6640625" style="55" customWidth="1"/>
    <col min="1518" max="1518" width="9" style="55" customWidth="1"/>
    <col min="1519" max="1519" width="22" style="55" customWidth="1"/>
    <col min="1520" max="1520" width="4.5" style="55" customWidth="1"/>
    <col min="1521" max="1521" width="13.33203125" style="55" customWidth="1"/>
    <col min="1522" max="1522" width="14.1640625" style="55" customWidth="1"/>
    <col min="1523" max="1523" width="9.33203125" style="55" customWidth="1"/>
    <col min="1524" max="1524" width="11.1640625" style="55" customWidth="1"/>
    <col min="1525" max="1525" width="9.1640625" style="55"/>
    <col min="1526" max="1526" width="10.33203125" style="55" customWidth="1"/>
    <col min="1527" max="1527" width="7.6640625" style="55" customWidth="1"/>
    <col min="1528" max="1528" width="12.6640625" style="55" customWidth="1"/>
    <col min="1529" max="1529" width="10.6640625" style="55" customWidth="1"/>
    <col min="1530" max="1530" width="12.83203125" style="55" customWidth="1"/>
    <col min="1531" max="1531" width="10.83203125" style="55" customWidth="1"/>
    <col min="1532" max="1532" width="12.5" style="55" customWidth="1"/>
    <col min="1533" max="1533" width="10.5" style="55" customWidth="1"/>
    <col min="1534" max="1534" width="13.1640625" style="55" customWidth="1"/>
    <col min="1535" max="1535" width="9.83203125" style="55" customWidth="1"/>
    <col min="1536" max="1536" width="13.6640625" style="55" customWidth="1"/>
    <col min="1537" max="1537" width="9.5" style="55" customWidth="1"/>
    <col min="1538" max="1538" width="12.5" style="55" customWidth="1"/>
    <col min="1539" max="1539" width="10" style="55" customWidth="1"/>
    <col min="1540" max="1540" width="13" style="55" customWidth="1"/>
    <col min="1541" max="1541" width="11" style="55" customWidth="1"/>
    <col min="1542" max="1542" width="13.83203125" style="55" customWidth="1"/>
    <col min="1543" max="1543" width="11.33203125" style="55" customWidth="1"/>
    <col min="1544" max="1544" width="13" style="55" customWidth="1"/>
    <col min="1545" max="1545" width="9" style="55" customWidth="1"/>
    <col min="1546" max="1546" width="3.83203125" style="55" customWidth="1"/>
    <col min="1547" max="1547" width="18.5" style="55" customWidth="1"/>
    <col min="1548" max="1548" width="10" style="55" customWidth="1"/>
    <col min="1549" max="1772" width="9.1640625" style="55"/>
    <col min="1773" max="1773" width="25.6640625" style="55" customWidth="1"/>
    <col min="1774" max="1774" width="9" style="55" customWidth="1"/>
    <col min="1775" max="1775" width="22" style="55" customWidth="1"/>
    <col min="1776" max="1776" width="4.5" style="55" customWidth="1"/>
    <col min="1777" max="1777" width="13.33203125" style="55" customWidth="1"/>
    <col min="1778" max="1778" width="14.1640625" style="55" customWidth="1"/>
    <col min="1779" max="1779" width="9.33203125" style="55" customWidth="1"/>
    <col min="1780" max="1780" width="11.1640625" style="55" customWidth="1"/>
    <col min="1781" max="1781" width="9.1640625" style="55"/>
    <col min="1782" max="1782" width="10.33203125" style="55" customWidth="1"/>
    <col min="1783" max="1783" width="7.6640625" style="55" customWidth="1"/>
    <col min="1784" max="1784" width="12.6640625" style="55" customWidth="1"/>
    <col min="1785" max="1785" width="10.6640625" style="55" customWidth="1"/>
    <col min="1786" max="1786" width="12.83203125" style="55" customWidth="1"/>
    <col min="1787" max="1787" width="10.83203125" style="55" customWidth="1"/>
    <col min="1788" max="1788" width="12.5" style="55" customWidth="1"/>
    <col min="1789" max="1789" width="10.5" style="55" customWidth="1"/>
    <col min="1790" max="1790" width="13.1640625" style="55" customWidth="1"/>
    <col min="1791" max="1791" width="9.83203125" style="55" customWidth="1"/>
    <col min="1792" max="1792" width="13.6640625" style="55" customWidth="1"/>
    <col min="1793" max="1793" width="9.5" style="55" customWidth="1"/>
    <col min="1794" max="1794" width="12.5" style="55" customWidth="1"/>
    <col min="1795" max="1795" width="10" style="55" customWidth="1"/>
    <col min="1796" max="1796" width="13" style="55" customWidth="1"/>
    <col min="1797" max="1797" width="11" style="55" customWidth="1"/>
    <col min="1798" max="1798" width="13.83203125" style="55" customWidth="1"/>
    <col min="1799" max="1799" width="11.33203125" style="55" customWidth="1"/>
    <col min="1800" max="1800" width="13" style="55" customWidth="1"/>
    <col min="1801" max="1801" width="9" style="55" customWidth="1"/>
    <col min="1802" max="1802" width="3.83203125" style="55" customWidth="1"/>
    <col min="1803" max="1803" width="18.5" style="55" customWidth="1"/>
    <col min="1804" max="1804" width="10" style="55" customWidth="1"/>
    <col min="1805" max="2028" width="9.1640625" style="55"/>
    <col min="2029" max="2029" width="25.6640625" style="55" customWidth="1"/>
    <col min="2030" max="2030" width="9" style="55" customWidth="1"/>
    <col min="2031" max="2031" width="22" style="55" customWidth="1"/>
    <col min="2032" max="2032" width="4.5" style="55" customWidth="1"/>
    <col min="2033" max="2033" width="13.33203125" style="55" customWidth="1"/>
    <col min="2034" max="2034" width="14.1640625" style="55" customWidth="1"/>
    <col min="2035" max="2035" width="9.33203125" style="55" customWidth="1"/>
    <col min="2036" max="2036" width="11.1640625" style="55" customWidth="1"/>
    <col min="2037" max="2037" width="9.1640625" style="55"/>
    <col min="2038" max="2038" width="10.33203125" style="55" customWidth="1"/>
    <col min="2039" max="2039" width="7.6640625" style="55" customWidth="1"/>
    <col min="2040" max="2040" width="12.6640625" style="55" customWidth="1"/>
    <col min="2041" max="2041" width="10.6640625" style="55" customWidth="1"/>
    <col min="2042" max="2042" width="12.83203125" style="55" customWidth="1"/>
    <col min="2043" max="2043" width="10.83203125" style="55" customWidth="1"/>
    <col min="2044" max="2044" width="12.5" style="55" customWidth="1"/>
    <col min="2045" max="2045" width="10.5" style="55" customWidth="1"/>
    <col min="2046" max="2046" width="13.1640625" style="55" customWidth="1"/>
    <col min="2047" max="2047" width="9.83203125" style="55" customWidth="1"/>
    <col min="2048" max="2048" width="13.6640625" style="55" customWidth="1"/>
    <col min="2049" max="2049" width="9.5" style="55" customWidth="1"/>
    <col min="2050" max="2050" width="12.5" style="55" customWidth="1"/>
    <col min="2051" max="2051" width="10" style="55" customWidth="1"/>
    <col min="2052" max="2052" width="13" style="55" customWidth="1"/>
    <col min="2053" max="2053" width="11" style="55" customWidth="1"/>
    <col min="2054" max="2054" width="13.83203125" style="55" customWidth="1"/>
    <col min="2055" max="2055" width="11.33203125" style="55" customWidth="1"/>
    <col min="2056" max="2056" width="13" style="55" customWidth="1"/>
    <col min="2057" max="2057" width="9" style="55" customWidth="1"/>
    <col min="2058" max="2058" width="3.83203125" style="55" customWidth="1"/>
    <col min="2059" max="2059" width="18.5" style="55" customWidth="1"/>
    <col min="2060" max="2060" width="10" style="55" customWidth="1"/>
    <col min="2061" max="2284" width="9.1640625" style="55"/>
    <col min="2285" max="2285" width="25.6640625" style="55" customWidth="1"/>
    <col min="2286" max="2286" width="9" style="55" customWidth="1"/>
    <col min="2287" max="2287" width="22" style="55" customWidth="1"/>
    <col min="2288" max="2288" width="4.5" style="55" customWidth="1"/>
    <col min="2289" max="2289" width="13.33203125" style="55" customWidth="1"/>
    <col min="2290" max="2290" width="14.1640625" style="55" customWidth="1"/>
    <col min="2291" max="2291" width="9.33203125" style="55" customWidth="1"/>
    <col min="2292" max="2292" width="11.1640625" style="55" customWidth="1"/>
    <col min="2293" max="2293" width="9.1640625" style="55"/>
    <col min="2294" max="2294" width="10.33203125" style="55" customWidth="1"/>
    <col min="2295" max="2295" width="7.6640625" style="55" customWidth="1"/>
    <col min="2296" max="2296" width="12.6640625" style="55" customWidth="1"/>
    <col min="2297" max="2297" width="10.6640625" style="55" customWidth="1"/>
    <col min="2298" max="2298" width="12.83203125" style="55" customWidth="1"/>
    <col min="2299" max="2299" width="10.83203125" style="55" customWidth="1"/>
    <col min="2300" max="2300" width="12.5" style="55" customWidth="1"/>
    <col min="2301" max="2301" width="10.5" style="55" customWidth="1"/>
    <col min="2302" max="2302" width="13.1640625" style="55" customWidth="1"/>
    <col min="2303" max="2303" width="9.83203125" style="55" customWidth="1"/>
    <col min="2304" max="2304" width="13.6640625" style="55" customWidth="1"/>
    <col min="2305" max="2305" width="9.5" style="55" customWidth="1"/>
    <col min="2306" max="2306" width="12.5" style="55" customWidth="1"/>
    <col min="2307" max="2307" width="10" style="55" customWidth="1"/>
    <col min="2308" max="2308" width="13" style="55" customWidth="1"/>
    <col min="2309" max="2309" width="11" style="55" customWidth="1"/>
    <col min="2310" max="2310" width="13.83203125" style="55" customWidth="1"/>
    <col min="2311" max="2311" width="11.33203125" style="55" customWidth="1"/>
    <col min="2312" max="2312" width="13" style="55" customWidth="1"/>
    <col min="2313" max="2313" width="9" style="55" customWidth="1"/>
    <col min="2314" max="2314" width="3.83203125" style="55" customWidth="1"/>
    <col min="2315" max="2315" width="18.5" style="55" customWidth="1"/>
    <col min="2316" max="2316" width="10" style="55" customWidth="1"/>
    <col min="2317" max="2540" width="9.1640625" style="55"/>
    <col min="2541" max="2541" width="25.6640625" style="55" customWidth="1"/>
    <col min="2542" max="2542" width="9" style="55" customWidth="1"/>
    <col min="2543" max="2543" width="22" style="55" customWidth="1"/>
    <col min="2544" max="2544" width="4.5" style="55" customWidth="1"/>
    <col min="2545" max="2545" width="13.33203125" style="55" customWidth="1"/>
    <col min="2546" max="2546" width="14.1640625" style="55" customWidth="1"/>
    <col min="2547" max="2547" width="9.33203125" style="55" customWidth="1"/>
    <col min="2548" max="2548" width="11.1640625" style="55" customWidth="1"/>
    <col min="2549" max="2549" width="9.1640625" style="55"/>
    <col min="2550" max="2550" width="10.33203125" style="55" customWidth="1"/>
    <col min="2551" max="2551" width="7.6640625" style="55" customWidth="1"/>
    <col min="2552" max="2552" width="12.6640625" style="55" customWidth="1"/>
    <col min="2553" max="2553" width="10.6640625" style="55" customWidth="1"/>
    <col min="2554" max="2554" width="12.83203125" style="55" customWidth="1"/>
    <col min="2555" max="2555" width="10.83203125" style="55" customWidth="1"/>
    <col min="2556" max="2556" width="12.5" style="55" customWidth="1"/>
    <col min="2557" max="2557" width="10.5" style="55" customWidth="1"/>
    <col min="2558" max="2558" width="13.1640625" style="55" customWidth="1"/>
    <col min="2559" max="2559" width="9.83203125" style="55" customWidth="1"/>
    <col min="2560" max="2560" width="13.6640625" style="55" customWidth="1"/>
    <col min="2561" max="2561" width="9.5" style="55" customWidth="1"/>
    <col min="2562" max="2562" width="12.5" style="55" customWidth="1"/>
    <col min="2563" max="2563" width="10" style="55" customWidth="1"/>
    <col min="2564" max="2564" width="13" style="55" customWidth="1"/>
    <col min="2565" max="2565" width="11" style="55" customWidth="1"/>
    <col min="2566" max="2566" width="13.83203125" style="55" customWidth="1"/>
    <col min="2567" max="2567" width="11.33203125" style="55" customWidth="1"/>
    <col min="2568" max="2568" width="13" style="55" customWidth="1"/>
    <col min="2569" max="2569" width="9" style="55" customWidth="1"/>
    <col min="2570" max="2570" width="3.83203125" style="55" customWidth="1"/>
    <col min="2571" max="2571" width="18.5" style="55" customWidth="1"/>
    <col min="2572" max="2572" width="10" style="55" customWidth="1"/>
    <col min="2573" max="2796" width="9.1640625" style="55"/>
    <col min="2797" max="2797" width="25.6640625" style="55" customWidth="1"/>
    <col min="2798" max="2798" width="9" style="55" customWidth="1"/>
    <col min="2799" max="2799" width="22" style="55" customWidth="1"/>
    <col min="2800" max="2800" width="4.5" style="55" customWidth="1"/>
    <col min="2801" max="2801" width="13.33203125" style="55" customWidth="1"/>
    <col min="2802" max="2802" width="14.1640625" style="55" customWidth="1"/>
    <col min="2803" max="2803" width="9.33203125" style="55" customWidth="1"/>
    <col min="2804" max="2804" width="11.1640625" style="55" customWidth="1"/>
    <col min="2805" max="2805" width="9.1640625" style="55"/>
    <col min="2806" max="2806" width="10.33203125" style="55" customWidth="1"/>
    <col min="2807" max="2807" width="7.6640625" style="55" customWidth="1"/>
    <col min="2808" max="2808" width="12.6640625" style="55" customWidth="1"/>
    <col min="2809" max="2809" width="10.6640625" style="55" customWidth="1"/>
    <col min="2810" max="2810" width="12.83203125" style="55" customWidth="1"/>
    <col min="2811" max="2811" width="10.83203125" style="55" customWidth="1"/>
    <col min="2812" max="2812" width="12.5" style="55" customWidth="1"/>
    <col min="2813" max="2813" width="10.5" style="55" customWidth="1"/>
    <col min="2814" max="2814" width="13.1640625" style="55" customWidth="1"/>
    <col min="2815" max="2815" width="9.83203125" style="55" customWidth="1"/>
    <col min="2816" max="2816" width="13.6640625" style="55" customWidth="1"/>
    <col min="2817" max="2817" width="9.5" style="55" customWidth="1"/>
    <col min="2818" max="2818" width="12.5" style="55" customWidth="1"/>
    <col min="2819" max="2819" width="10" style="55" customWidth="1"/>
    <col min="2820" max="2820" width="13" style="55" customWidth="1"/>
    <col min="2821" max="2821" width="11" style="55" customWidth="1"/>
    <col min="2822" max="2822" width="13.83203125" style="55" customWidth="1"/>
    <col min="2823" max="2823" width="11.33203125" style="55" customWidth="1"/>
    <col min="2824" max="2824" width="13" style="55" customWidth="1"/>
    <col min="2825" max="2825" width="9" style="55" customWidth="1"/>
    <col min="2826" max="2826" width="3.83203125" style="55" customWidth="1"/>
    <col min="2827" max="2827" width="18.5" style="55" customWidth="1"/>
    <col min="2828" max="2828" width="10" style="55" customWidth="1"/>
    <col min="2829" max="3052" width="9.1640625" style="55"/>
    <col min="3053" max="3053" width="25.6640625" style="55" customWidth="1"/>
    <col min="3054" max="3054" width="9" style="55" customWidth="1"/>
    <col min="3055" max="3055" width="22" style="55" customWidth="1"/>
    <col min="3056" max="3056" width="4.5" style="55" customWidth="1"/>
    <col min="3057" max="3057" width="13.33203125" style="55" customWidth="1"/>
    <col min="3058" max="3058" width="14.1640625" style="55" customWidth="1"/>
    <col min="3059" max="3059" width="9.33203125" style="55" customWidth="1"/>
    <col min="3060" max="3060" width="11.1640625" style="55" customWidth="1"/>
    <col min="3061" max="3061" width="9.1640625" style="55"/>
    <col min="3062" max="3062" width="10.33203125" style="55" customWidth="1"/>
    <col min="3063" max="3063" width="7.6640625" style="55" customWidth="1"/>
    <col min="3064" max="3064" width="12.6640625" style="55" customWidth="1"/>
    <col min="3065" max="3065" width="10.6640625" style="55" customWidth="1"/>
    <col min="3066" max="3066" width="12.83203125" style="55" customWidth="1"/>
    <col min="3067" max="3067" width="10.83203125" style="55" customWidth="1"/>
    <col min="3068" max="3068" width="12.5" style="55" customWidth="1"/>
    <col min="3069" max="3069" width="10.5" style="55" customWidth="1"/>
    <col min="3070" max="3070" width="13.1640625" style="55" customWidth="1"/>
    <col min="3071" max="3071" width="9.83203125" style="55" customWidth="1"/>
    <col min="3072" max="3072" width="13.6640625" style="55" customWidth="1"/>
    <col min="3073" max="3073" width="9.5" style="55" customWidth="1"/>
    <col min="3074" max="3074" width="12.5" style="55" customWidth="1"/>
    <col min="3075" max="3075" width="10" style="55" customWidth="1"/>
    <col min="3076" max="3076" width="13" style="55" customWidth="1"/>
    <col min="3077" max="3077" width="11" style="55" customWidth="1"/>
    <col min="3078" max="3078" width="13.83203125" style="55" customWidth="1"/>
    <col min="3079" max="3079" width="11.33203125" style="55" customWidth="1"/>
    <col min="3080" max="3080" width="13" style="55" customWidth="1"/>
    <col min="3081" max="3081" width="9" style="55" customWidth="1"/>
    <col min="3082" max="3082" width="3.83203125" style="55" customWidth="1"/>
    <col min="3083" max="3083" width="18.5" style="55" customWidth="1"/>
    <col min="3084" max="3084" width="10" style="55" customWidth="1"/>
    <col min="3085" max="3308" width="9.1640625" style="55"/>
    <col min="3309" max="3309" width="25.6640625" style="55" customWidth="1"/>
    <col min="3310" max="3310" width="9" style="55" customWidth="1"/>
    <col min="3311" max="3311" width="22" style="55" customWidth="1"/>
    <col min="3312" max="3312" width="4.5" style="55" customWidth="1"/>
    <col min="3313" max="3313" width="13.33203125" style="55" customWidth="1"/>
    <col min="3314" max="3314" width="14.1640625" style="55" customWidth="1"/>
    <col min="3315" max="3315" width="9.33203125" style="55" customWidth="1"/>
    <col min="3316" max="3316" width="11.1640625" style="55" customWidth="1"/>
    <col min="3317" max="3317" width="9.1640625" style="55"/>
    <col min="3318" max="3318" width="10.33203125" style="55" customWidth="1"/>
    <col min="3319" max="3319" width="7.6640625" style="55" customWidth="1"/>
    <col min="3320" max="3320" width="12.6640625" style="55" customWidth="1"/>
    <col min="3321" max="3321" width="10.6640625" style="55" customWidth="1"/>
    <col min="3322" max="3322" width="12.83203125" style="55" customWidth="1"/>
    <col min="3323" max="3323" width="10.83203125" style="55" customWidth="1"/>
    <col min="3324" max="3324" width="12.5" style="55" customWidth="1"/>
    <col min="3325" max="3325" width="10.5" style="55" customWidth="1"/>
    <col min="3326" max="3326" width="13.1640625" style="55" customWidth="1"/>
    <col min="3327" max="3327" width="9.83203125" style="55" customWidth="1"/>
    <col min="3328" max="3328" width="13.6640625" style="55" customWidth="1"/>
    <col min="3329" max="3329" width="9.5" style="55" customWidth="1"/>
    <col min="3330" max="3330" width="12.5" style="55" customWidth="1"/>
    <col min="3331" max="3331" width="10" style="55" customWidth="1"/>
    <col min="3332" max="3332" width="13" style="55" customWidth="1"/>
    <col min="3333" max="3333" width="11" style="55" customWidth="1"/>
    <col min="3334" max="3334" width="13.83203125" style="55" customWidth="1"/>
    <col min="3335" max="3335" width="11.33203125" style="55" customWidth="1"/>
    <col min="3336" max="3336" width="13" style="55" customWidth="1"/>
    <col min="3337" max="3337" width="9" style="55" customWidth="1"/>
    <col min="3338" max="3338" width="3.83203125" style="55" customWidth="1"/>
    <col min="3339" max="3339" width="18.5" style="55" customWidth="1"/>
    <col min="3340" max="3340" width="10" style="55" customWidth="1"/>
    <col min="3341" max="3564" width="9.1640625" style="55"/>
    <col min="3565" max="3565" width="25.6640625" style="55" customWidth="1"/>
    <col min="3566" max="3566" width="9" style="55" customWidth="1"/>
    <col min="3567" max="3567" width="22" style="55" customWidth="1"/>
    <col min="3568" max="3568" width="4.5" style="55" customWidth="1"/>
    <col min="3569" max="3569" width="13.33203125" style="55" customWidth="1"/>
    <col min="3570" max="3570" width="14.1640625" style="55" customWidth="1"/>
    <col min="3571" max="3571" width="9.33203125" style="55" customWidth="1"/>
    <col min="3572" max="3572" width="11.1640625" style="55" customWidth="1"/>
    <col min="3573" max="3573" width="9.1640625" style="55"/>
    <col min="3574" max="3574" width="10.33203125" style="55" customWidth="1"/>
    <col min="3575" max="3575" width="7.6640625" style="55" customWidth="1"/>
    <col min="3576" max="3576" width="12.6640625" style="55" customWidth="1"/>
    <col min="3577" max="3577" width="10.6640625" style="55" customWidth="1"/>
    <col min="3578" max="3578" width="12.83203125" style="55" customWidth="1"/>
    <col min="3579" max="3579" width="10.83203125" style="55" customWidth="1"/>
    <col min="3580" max="3580" width="12.5" style="55" customWidth="1"/>
    <col min="3581" max="3581" width="10.5" style="55" customWidth="1"/>
    <col min="3582" max="3582" width="13.1640625" style="55" customWidth="1"/>
    <col min="3583" max="3583" width="9.83203125" style="55" customWidth="1"/>
    <col min="3584" max="3584" width="13.6640625" style="55" customWidth="1"/>
    <col min="3585" max="3585" width="9.5" style="55" customWidth="1"/>
    <col min="3586" max="3586" width="12.5" style="55" customWidth="1"/>
    <col min="3587" max="3587" width="10" style="55" customWidth="1"/>
    <col min="3588" max="3588" width="13" style="55" customWidth="1"/>
    <col min="3589" max="3589" width="11" style="55" customWidth="1"/>
    <col min="3590" max="3590" width="13.83203125" style="55" customWidth="1"/>
    <col min="3591" max="3591" width="11.33203125" style="55" customWidth="1"/>
    <col min="3592" max="3592" width="13" style="55" customWidth="1"/>
    <col min="3593" max="3593" width="9" style="55" customWidth="1"/>
    <col min="3594" max="3594" width="3.83203125" style="55" customWidth="1"/>
    <col min="3595" max="3595" width="18.5" style="55" customWidth="1"/>
    <col min="3596" max="3596" width="10" style="55" customWidth="1"/>
    <col min="3597" max="3820" width="9.1640625" style="55"/>
    <col min="3821" max="3821" width="25.6640625" style="55" customWidth="1"/>
    <col min="3822" max="3822" width="9" style="55" customWidth="1"/>
    <col min="3823" max="3823" width="22" style="55" customWidth="1"/>
    <col min="3824" max="3824" width="4.5" style="55" customWidth="1"/>
    <col min="3825" max="3825" width="13.33203125" style="55" customWidth="1"/>
    <col min="3826" max="3826" width="14.1640625" style="55" customWidth="1"/>
    <col min="3827" max="3827" width="9.33203125" style="55" customWidth="1"/>
    <col min="3828" max="3828" width="11.1640625" style="55" customWidth="1"/>
    <col min="3829" max="3829" width="9.1640625" style="55"/>
    <col min="3830" max="3830" width="10.33203125" style="55" customWidth="1"/>
    <col min="3831" max="3831" width="7.6640625" style="55" customWidth="1"/>
    <col min="3832" max="3832" width="12.6640625" style="55" customWidth="1"/>
    <col min="3833" max="3833" width="10.6640625" style="55" customWidth="1"/>
    <col min="3834" max="3834" width="12.83203125" style="55" customWidth="1"/>
    <col min="3835" max="3835" width="10.83203125" style="55" customWidth="1"/>
    <col min="3836" max="3836" width="12.5" style="55" customWidth="1"/>
    <col min="3837" max="3837" width="10.5" style="55" customWidth="1"/>
    <col min="3838" max="3838" width="13.1640625" style="55" customWidth="1"/>
    <col min="3839" max="3839" width="9.83203125" style="55" customWidth="1"/>
    <col min="3840" max="3840" width="13.6640625" style="55" customWidth="1"/>
    <col min="3841" max="3841" width="9.5" style="55" customWidth="1"/>
    <col min="3842" max="3842" width="12.5" style="55" customWidth="1"/>
    <col min="3843" max="3843" width="10" style="55" customWidth="1"/>
    <col min="3844" max="3844" width="13" style="55" customWidth="1"/>
    <col min="3845" max="3845" width="11" style="55" customWidth="1"/>
    <col min="3846" max="3846" width="13.83203125" style="55" customWidth="1"/>
    <col min="3847" max="3847" width="11.33203125" style="55" customWidth="1"/>
    <col min="3848" max="3848" width="13" style="55" customWidth="1"/>
    <col min="3849" max="3849" width="9" style="55" customWidth="1"/>
    <col min="3850" max="3850" width="3.83203125" style="55" customWidth="1"/>
    <col min="3851" max="3851" width="18.5" style="55" customWidth="1"/>
    <col min="3852" max="3852" width="10" style="55" customWidth="1"/>
    <col min="3853" max="4076" width="9.1640625" style="55"/>
    <col min="4077" max="4077" width="25.6640625" style="55" customWidth="1"/>
    <col min="4078" max="4078" width="9" style="55" customWidth="1"/>
    <col min="4079" max="4079" width="22" style="55" customWidth="1"/>
    <col min="4080" max="4080" width="4.5" style="55" customWidth="1"/>
    <col min="4081" max="4081" width="13.33203125" style="55" customWidth="1"/>
    <col min="4082" max="4082" width="14.1640625" style="55" customWidth="1"/>
    <col min="4083" max="4083" width="9.33203125" style="55" customWidth="1"/>
    <col min="4084" max="4084" width="11.1640625" style="55" customWidth="1"/>
    <col min="4085" max="4085" width="9.1640625" style="55"/>
    <col min="4086" max="4086" width="10.33203125" style="55" customWidth="1"/>
    <col min="4087" max="4087" width="7.6640625" style="55" customWidth="1"/>
    <col min="4088" max="4088" width="12.6640625" style="55" customWidth="1"/>
    <col min="4089" max="4089" width="10.6640625" style="55" customWidth="1"/>
    <col min="4090" max="4090" width="12.83203125" style="55" customWidth="1"/>
    <col min="4091" max="4091" width="10.83203125" style="55" customWidth="1"/>
    <col min="4092" max="4092" width="12.5" style="55" customWidth="1"/>
    <col min="4093" max="4093" width="10.5" style="55" customWidth="1"/>
    <col min="4094" max="4094" width="13.1640625" style="55" customWidth="1"/>
    <col min="4095" max="4095" width="9.83203125" style="55" customWidth="1"/>
    <col min="4096" max="4096" width="13.6640625" style="55" customWidth="1"/>
    <col min="4097" max="4097" width="9.5" style="55" customWidth="1"/>
    <col min="4098" max="4098" width="12.5" style="55" customWidth="1"/>
    <col min="4099" max="4099" width="10" style="55" customWidth="1"/>
    <col min="4100" max="4100" width="13" style="55" customWidth="1"/>
    <col min="4101" max="4101" width="11" style="55" customWidth="1"/>
    <col min="4102" max="4102" width="13.83203125" style="55" customWidth="1"/>
    <col min="4103" max="4103" width="11.33203125" style="55" customWidth="1"/>
    <col min="4104" max="4104" width="13" style="55" customWidth="1"/>
    <col min="4105" max="4105" width="9" style="55" customWidth="1"/>
    <col min="4106" max="4106" width="3.83203125" style="55" customWidth="1"/>
    <col min="4107" max="4107" width="18.5" style="55" customWidth="1"/>
    <col min="4108" max="4108" width="10" style="55" customWidth="1"/>
    <col min="4109" max="4332" width="9.1640625" style="55"/>
    <col min="4333" max="4333" width="25.6640625" style="55" customWidth="1"/>
    <col min="4334" max="4334" width="9" style="55" customWidth="1"/>
    <col min="4335" max="4335" width="22" style="55" customWidth="1"/>
    <col min="4336" max="4336" width="4.5" style="55" customWidth="1"/>
    <col min="4337" max="4337" width="13.33203125" style="55" customWidth="1"/>
    <col min="4338" max="4338" width="14.1640625" style="55" customWidth="1"/>
    <col min="4339" max="4339" width="9.33203125" style="55" customWidth="1"/>
    <col min="4340" max="4340" width="11.1640625" style="55" customWidth="1"/>
    <col min="4341" max="4341" width="9.1640625" style="55"/>
    <col min="4342" max="4342" width="10.33203125" style="55" customWidth="1"/>
    <col min="4343" max="4343" width="7.6640625" style="55" customWidth="1"/>
    <col min="4344" max="4344" width="12.6640625" style="55" customWidth="1"/>
    <col min="4345" max="4345" width="10.6640625" style="55" customWidth="1"/>
    <col min="4346" max="4346" width="12.83203125" style="55" customWidth="1"/>
    <col min="4347" max="4347" width="10.83203125" style="55" customWidth="1"/>
    <col min="4348" max="4348" width="12.5" style="55" customWidth="1"/>
    <col min="4349" max="4349" width="10.5" style="55" customWidth="1"/>
    <col min="4350" max="4350" width="13.1640625" style="55" customWidth="1"/>
    <col min="4351" max="4351" width="9.83203125" style="55" customWidth="1"/>
    <col min="4352" max="4352" width="13.6640625" style="55" customWidth="1"/>
    <col min="4353" max="4353" width="9.5" style="55" customWidth="1"/>
    <col min="4354" max="4354" width="12.5" style="55" customWidth="1"/>
    <col min="4355" max="4355" width="10" style="55" customWidth="1"/>
    <col min="4356" max="4356" width="13" style="55" customWidth="1"/>
    <col min="4357" max="4357" width="11" style="55" customWidth="1"/>
    <col min="4358" max="4358" width="13.83203125" style="55" customWidth="1"/>
    <col min="4359" max="4359" width="11.33203125" style="55" customWidth="1"/>
    <col min="4360" max="4360" width="13" style="55" customWidth="1"/>
    <col min="4361" max="4361" width="9" style="55" customWidth="1"/>
    <col min="4362" max="4362" width="3.83203125" style="55" customWidth="1"/>
    <col min="4363" max="4363" width="18.5" style="55" customWidth="1"/>
    <col min="4364" max="4364" width="10" style="55" customWidth="1"/>
    <col min="4365" max="4588" width="9.1640625" style="55"/>
    <col min="4589" max="4589" width="25.6640625" style="55" customWidth="1"/>
    <col min="4590" max="4590" width="9" style="55" customWidth="1"/>
    <col min="4591" max="4591" width="22" style="55" customWidth="1"/>
    <col min="4592" max="4592" width="4.5" style="55" customWidth="1"/>
    <col min="4593" max="4593" width="13.33203125" style="55" customWidth="1"/>
    <col min="4594" max="4594" width="14.1640625" style="55" customWidth="1"/>
    <col min="4595" max="4595" width="9.33203125" style="55" customWidth="1"/>
    <col min="4596" max="4596" width="11.1640625" style="55" customWidth="1"/>
    <col min="4597" max="4597" width="9.1640625" style="55"/>
    <col min="4598" max="4598" width="10.33203125" style="55" customWidth="1"/>
    <col min="4599" max="4599" width="7.6640625" style="55" customWidth="1"/>
    <col min="4600" max="4600" width="12.6640625" style="55" customWidth="1"/>
    <col min="4601" max="4601" width="10.6640625" style="55" customWidth="1"/>
    <col min="4602" max="4602" width="12.83203125" style="55" customWidth="1"/>
    <col min="4603" max="4603" width="10.83203125" style="55" customWidth="1"/>
    <col min="4604" max="4604" width="12.5" style="55" customWidth="1"/>
    <col min="4605" max="4605" width="10.5" style="55" customWidth="1"/>
    <col min="4606" max="4606" width="13.1640625" style="55" customWidth="1"/>
    <col min="4607" max="4607" width="9.83203125" style="55" customWidth="1"/>
    <col min="4608" max="4608" width="13.6640625" style="55" customWidth="1"/>
    <col min="4609" max="4609" width="9.5" style="55" customWidth="1"/>
    <col min="4610" max="4610" width="12.5" style="55" customWidth="1"/>
    <col min="4611" max="4611" width="10" style="55" customWidth="1"/>
    <col min="4612" max="4612" width="13" style="55" customWidth="1"/>
    <col min="4613" max="4613" width="11" style="55" customWidth="1"/>
    <col min="4614" max="4614" width="13.83203125" style="55" customWidth="1"/>
    <col min="4615" max="4615" width="11.33203125" style="55" customWidth="1"/>
    <col min="4616" max="4616" width="13" style="55" customWidth="1"/>
    <col min="4617" max="4617" width="9" style="55" customWidth="1"/>
    <col min="4618" max="4618" width="3.83203125" style="55" customWidth="1"/>
    <col min="4619" max="4619" width="18.5" style="55" customWidth="1"/>
    <col min="4620" max="4620" width="10" style="55" customWidth="1"/>
    <col min="4621" max="4844" width="9.1640625" style="55"/>
    <col min="4845" max="4845" width="25.6640625" style="55" customWidth="1"/>
    <col min="4846" max="4846" width="9" style="55" customWidth="1"/>
    <col min="4847" max="4847" width="22" style="55" customWidth="1"/>
    <col min="4848" max="4848" width="4.5" style="55" customWidth="1"/>
    <col min="4849" max="4849" width="13.33203125" style="55" customWidth="1"/>
    <col min="4850" max="4850" width="14.1640625" style="55" customWidth="1"/>
    <col min="4851" max="4851" width="9.33203125" style="55" customWidth="1"/>
    <col min="4852" max="4852" width="11.1640625" style="55" customWidth="1"/>
    <col min="4853" max="4853" width="9.1640625" style="55"/>
    <col min="4854" max="4854" width="10.33203125" style="55" customWidth="1"/>
    <col min="4855" max="4855" width="7.6640625" style="55" customWidth="1"/>
    <col min="4856" max="4856" width="12.6640625" style="55" customWidth="1"/>
    <col min="4857" max="4857" width="10.6640625" style="55" customWidth="1"/>
    <col min="4858" max="4858" width="12.83203125" style="55" customWidth="1"/>
    <col min="4859" max="4859" width="10.83203125" style="55" customWidth="1"/>
    <col min="4860" max="4860" width="12.5" style="55" customWidth="1"/>
    <col min="4861" max="4861" width="10.5" style="55" customWidth="1"/>
    <col min="4862" max="4862" width="13.1640625" style="55" customWidth="1"/>
    <col min="4863" max="4863" width="9.83203125" style="55" customWidth="1"/>
    <col min="4864" max="4864" width="13.6640625" style="55" customWidth="1"/>
    <col min="4865" max="4865" width="9.5" style="55" customWidth="1"/>
    <col min="4866" max="4866" width="12.5" style="55" customWidth="1"/>
    <col min="4867" max="4867" width="10" style="55" customWidth="1"/>
    <col min="4868" max="4868" width="13" style="55" customWidth="1"/>
    <col min="4869" max="4869" width="11" style="55" customWidth="1"/>
    <col min="4870" max="4870" width="13.83203125" style="55" customWidth="1"/>
    <col min="4871" max="4871" width="11.33203125" style="55" customWidth="1"/>
    <col min="4872" max="4872" width="13" style="55" customWidth="1"/>
    <col min="4873" max="4873" width="9" style="55" customWidth="1"/>
    <col min="4874" max="4874" width="3.83203125" style="55" customWidth="1"/>
    <col min="4875" max="4875" width="18.5" style="55" customWidth="1"/>
    <col min="4876" max="4876" width="10" style="55" customWidth="1"/>
    <col min="4877" max="5100" width="9.1640625" style="55"/>
    <col min="5101" max="5101" width="25.6640625" style="55" customWidth="1"/>
    <col min="5102" max="5102" width="9" style="55" customWidth="1"/>
    <col min="5103" max="5103" width="22" style="55" customWidth="1"/>
    <col min="5104" max="5104" width="4.5" style="55" customWidth="1"/>
    <col min="5105" max="5105" width="13.33203125" style="55" customWidth="1"/>
    <col min="5106" max="5106" width="14.1640625" style="55" customWidth="1"/>
    <col min="5107" max="5107" width="9.33203125" style="55" customWidth="1"/>
    <col min="5108" max="5108" width="11.1640625" style="55" customWidth="1"/>
    <col min="5109" max="5109" width="9.1640625" style="55"/>
    <col min="5110" max="5110" width="10.33203125" style="55" customWidth="1"/>
    <col min="5111" max="5111" width="7.6640625" style="55" customWidth="1"/>
    <col min="5112" max="5112" width="12.6640625" style="55" customWidth="1"/>
    <col min="5113" max="5113" width="10.6640625" style="55" customWidth="1"/>
    <col min="5114" max="5114" width="12.83203125" style="55" customWidth="1"/>
    <col min="5115" max="5115" width="10.83203125" style="55" customWidth="1"/>
    <col min="5116" max="5116" width="12.5" style="55" customWidth="1"/>
    <col min="5117" max="5117" width="10.5" style="55" customWidth="1"/>
    <col min="5118" max="5118" width="13.1640625" style="55" customWidth="1"/>
    <col min="5119" max="5119" width="9.83203125" style="55" customWidth="1"/>
    <col min="5120" max="5120" width="13.6640625" style="55" customWidth="1"/>
    <col min="5121" max="5121" width="9.5" style="55" customWidth="1"/>
    <col min="5122" max="5122" width="12.5" style="55" customWidth="1"/>
    <col min="5123" max="5123" width="10" style="55" customWidth="1"/>
    <col min="5124" max="5124" width="13" style="55" customWidth="1"/>
    <col min="5125" max="5125" width="11" style="55" customWidth="1"/>
    <col min="5126" max="5126" width="13.83203125" style="55" customWidth="1"/>
    <col min="5127" max="5127" width="11.33203125" style="55" customWidth="1"/>
    <col min="5128" max="5128" width="13" style="55" customWidth="1"/>
    <col min="5129" max="5129" width="9" style="55" customWidth="1"/>
    <col min="5130" max="5130" width="3.83203125" style="55" customWidth="1"/>
    <col min="5131" max="5131" width="18.5" style="55" customWidth="1"/>
    <col min="5132" max="5132" width="10" style="55" customWidth="1"/>
    <col min="5133" max="5356" width="9.1640625" style="55"/>
    <col min="5357" max="5357" width="25.6640625" style="55" customWidth="1"/>
    <col min="5358" max="5358" width="9" style="55" customWidth="1"/>
    <col min="5359" max="5359" width="22" style="55" customWidth="1"/>
    <col min="5360" max="5360" width="4.5" style="55" customWidth="1"/>
    <col min="5361" max="5361" width="13.33203125" style="55" customWidth="1"/>
    <col min="5362" max="5362" width="14.1640625" style="55" customWidth="1"/>
    <col min="5363" max="5363" width="9.33203125" style="55" customWidth="1"/>
    <col min="5364" max="5364" width="11.1640625" style="55" customWidth="1"/>
    <col min="5365" max="5365" width="9.1640625" style="55"/>
    <col min="5366" max="5366" width="10.33203125" style="55" customWidth="1"/>
    <col min="5367" max="5367" width="7.6640625" style="55" customWidth="1"/>
    <col min="5368" max="5368" width="12.6640625" style="55" customWidth="1"/>
    <col min="5369" max="5369" width="10.6640625" style="55" customWidth="1"/>
    <col min="5370" max="5370" width="12.83203125" style="55" customWidth="1"/>
    <col min="5371" max="5371" width="10.83203125" style="55" customWidth="1"/>
    <col min="5372" max="5372" width="12.5" style="55" customWidth="1"/>
    <col min="5373" max="5373" width="10.5" style="55" customWidth="1"/>
    <col min="5374" max="5374" width="13.1640625" style="55" customWidth="1"/>
    <col min="5375" max="5375" width="9.83203125" style="55" customWidth="1"/>
    <col min="5376" max="5376" width="13.6640625" style="55" customWidth="1"/>
    <col min="5377" max="5377" width="9.5" style="55" customWidth="1"/>
    <col min="5378" max="5378" width="12.5" style="55" customWidth="1"/>
    <col min="5379" max="5379" width="10" style="55" customWidth="1"/>
    <col min="5380" max="5380" width="13" style="55" customWidth="1"/>
    <col min="5381" max="5381" width="11" style="55" customWidth="1"/>
    <col min="5382" max="5382" width="13.83203125" style="55" customWidth="1"/>
    <col min="5383" max="5383" width="11.33203125" style="55" customWidth="1"/>
    <col min="5384" max="5384" width="13" style="55" customWidth="1"/>
    <col min="5385" max="5385" width="9" style="55" customWidth="1"/>
    <col min="5386" max="5386" width="3.83203125" style="55" customWidth="1"/>
    <col min="5387" max="5387" width="18.5" style="55" customWidth="1"/>
    <col min="5388" max="5388" width="10" style="55" customWidth="1"/>
    <col min="5389" max="5612" width="9.1640625" style="55"/>
    <col min="5613" max="5613" width="25.6640625" style="55" customWidth="1"/>
    <col min="5614" max="5614" width="9" style="55" customWidth="1"/>
    <col min="5615" max="5615" width="22" style="55" customWidth="1"/>
    <col min="5616" max="5616" width="4.5" style="55" customWidth="1"/>
    <col min="5617" max="5617" width="13.33203125" style="55" customWidth="1"/>
    <col min="5618" max="5618" width="14.1640625" style="55" customWidth="1"/>
    <col min="5619" max="5619" width="9.33203125" style="55" customWidth="1"/>
    <col min="5620" max="5620" width="11.1640625" style="55" customWidth="1"/>
    <col min="5621" max="5621" width="9.1640625" style="55"/>
    <col min="5622" max="5622" width="10.33203125" style="55" customWidth="1"/>
    <col min="5623" max="5623" width="7.6640625" style="55" customWidth="1"/>
    <col min="5624" max="5624" width="12.6640625" style="55" customWidth="1"/>
    <col min="5625" max="5625" width="10.6640625" style="55" customWidth="1"/>
    <col min="5626" max="5626" width="12.83203125" style="55" customWidth="1"/>
    <col min="5627" max="5627" width="10.83203125" style="55" customWidth="1"/>
    <col min="5628" max="5628" width="12.5" style="55" customWidth="1"/>
    <col min="5629" max="5629" width="10.5" style="55" customWidth="1"/>
    <col min="5630" max="5630" width="13.1640625" style="55" customWidth="1"/>
    <col min="5631" max="5631" width="9.83203125" style="55" customWidth="1"/>
    <col min="5632" max="5632" width="13.6640625" style="55" customWidth="1"/>
    <col min="5633" max="5633" width="9.5" style="55" customWidth="1"/>
    <col min="5634" max="5634" width="12.5" style="55" customWidth="1"/>
    <col min="5635" max="5635" width="10" style="55" customWidth="1"/>
    <col min="5636" max="5636" width="13" style="55" customWidth="1"/>
    <col min="5637" max="5637" width="11" style="55" customWidth="1"/>
    <col min="5638" max="5638" width="13.83203125" style="55" customWidth="1"/>
    <col min="5639" max="5639" width="11.33203125" style="55" customWidth="1"/>
    <col min="5640" max="5640" width="13" style="55" customWidth="1"/>
    <col min="5641" max="5641" width="9" style="55" customWidth="1"/>
    <col min="5642" max="5642" width="3.83203125" style="55" customWidth="1"/>
    <col min="5643" max="5643" width="18.5" style="55" customWidth="1"/>
    <col min="5644" max="5644" width="10" style="55" customWidth="1"/>
    <col min="5645" max="5868" width="9.1640625" style="55"/>
    <col min="5869" max="5869" width="25.6640625" style="55" customWidth="1"/>
    <col min="5870" max="5870" width="9" style="55" customWidth="1"/>
    <col min="5871" max="5871" width="22" style="55" customWidth="1"/>
    <col min="5872" max="5872" width="4.5" style="55" customWidth="1"/>
    <col min="5873" max="5873" width="13.33203125" style="55" customWidth="1"/>
    <col min="5874" max="5874" width="14.1640625" style="55" customWidth="1"/>
    <col min="5875" max="5875" width="9.33203125" style="55" customWidth="1"/>
    <col min="5876" max="5876" width="11.1640625" style="55" customWidth="1"/>
    <col min="5877" max="5877" width="9.1640625" style="55"/>
    <col min="5878" max="5878" width="10.33203125" style="55" customWidth="1"/>
    <col min="5879" max="5879" width="7.6640625" style="55" customWidth="1"/>
    <col min="5880" max="5880" width="12.6640625" style="55" customWidth="1"/>
    <col min="5881" max="5881" width="10.6640625" style="55" customWidth="1"/>
    <col min="5882" max="5882" width="12.83203125" style="55" customWidth="1"/>
    <col min="5883" max="5883" width="10.83203125" style="55" customWidth="1"/>
    <col min="5884" max="5884" width="12.5" style="55" customWidth="1"/>
    <col min="5885" max="5885" width="10.5" style="55" customWidth="1"/>
    <col min="5886" max="5886" width="13.1640625" style="55" customWidth="1"/>
    <col min="5887" max="5887" width="9.83203125" style="55" customWidth="1"/>
    <col min="5888" max="5888" width="13.6640625" style="55" customWidth="1"/>
    <col min="5889" max="5889" width="9.5" style="55" customWidth="1"/>
    <col min="5890" max="5890" width="12.5" style="55" customWidth="1"/>
    <col min="5891" max="5891" width="10" style="55" customWidth="1"/>
    <col min="5892" max="5892" width="13" style="55" customWidth="1"/>
    <col min="5893" max="5893" width="11" style="55" customWidth="1"/>
    <col min="5894" max="5894" width="13.83203125" style="55" customWidth="1"/>
    <col min="5895" max="5895" width="11.33203125" style="55" customWidth="1"/>
    <col min="5896" max="5896" width="13" style="55" customWidth="1"/>
    <col min="5897" max="5897" width="9" style="55" customWidth="1"/>
    <col min="5898" max="5898" width="3.83203125" style="55" customWidth="1"/>
    <col min="5899" max="5899" width="18.5" style="55" customWidth="1"/>
    <col min="5900" max="5900" width="10" style="55" customWidth="1"/>
    <col min="5901" max="6124" width="9.1640625" style="55"/>
    <col min="6125" max="6125" width="25.6640625" style="55" customWidth="1"/>
    <col min="6126" max="6126" width="9" style="55" customWidth="1"/>
    <col min="6127" max="6127" width="22" style="55" customWidth="1"/>
    <col min="6128" max="6128" width="4.5" style="55" customWidth="1"/>
    <col min="6129" max="6129" width="13.33203125" style="55" customWidth="1"/>
    <col min="6130" max="6130" width="14.1640625" style="55" customWidth="1"/>
    <col min="6131" max="6131" width="9.33203125" style="55" customWidth="1"/>
    <col min="6132" max="6132" width="11.1640625" style="55" customWidth="1"/>
    <col min="6133" max="6133" width="9.1640625" style="55"/>
    <col min="6134" max="6134" width="10.33203125" style="55" customWidth="1"/>
    <col min="6135" max="6135" width="7.6640625" style="55" customWidth="1"/>
    <col min="6136" max="6136" width="12.6640625" style="55" customWidth="1"/>
    <col min="6137" max="6137" width="10.6640625" style="55" customWidth="1"/>
    <col min="6138" max="6138" width="12.83203125" style="55" customWidth="1"/>
    <col min="6139" max="6139" width="10.83203125" style="55" customWidth="1"/>
    <col min="6140" max="6140" width="12.5" style="55" customWidth="1"/>
    <col min="6141" max="6141" width="10.5" style="55" customWidth="1"/>
    <col min="6142" max="6142" width="13.1640625" style="55" customWidth="1"/>
    <col min="6143" max="6143" width="9.83203125" style="55" customWidth="1"/>
    <col min="6144" max="6144" width="13.6640625" style="55" customWidth="1"/>
    <col min="6145" max="6145" width="9.5" style="55" customWidth="1"/>
    <col min="6146" max="6146" width="12.5" style="55" customWidth="1"/>
    <col min="6147" max="6147" width="10" style="55" customWidth="1"/>
    <col min="6148" max="6148" width="13" style="55" customWidth="1"/>
    <col min="6149" max="6149" width="11" style="55" customWidth="1"/>
    <col min="6150" max="6150" width="13.83203125" style="55" customWidth="1"/>
    <col min="6151" max="6151" width="11.33203125" style="55" customWidth="1"/>
    <col min="6152" max="6152" width="13" style="55" customWidth="1"/>
    <col min="6153" max="6153" width="9" style="55" customWidth="1"/>
    <col min="6154" max="6154" width="3.83203125" style="55" customWidth="1"/>
    <col min="6155" max="6155" width="18.5" style="55" customWidth="1"/>
    <col min="6156" max="6156" width="10" style="55" customWidth="1"/>
    <col min="6157" max="6380" width="9.1640625" style="55"/>
    <col min="6381" max="6381" width="25.6640625" style="55" customWidth="1"/>
    <col min="6382" max="6382" width="9" style="55" customWidth="1"/>
    <col min="6383" max="6383" width="22" style="55" customWidth="1"/>
    <col min="6384" max="6384" width="4.5" style="55" customWidth="1"/>
    <col min="6385" max="6385" width="13.33203125" style="55" customWidth="1"/>
    <col min="6386" max="6386" width="14.1640625" style="55" customWidth="1"/>
    <col min="6387" max="6387" width="9.33203125" style="55" customWidth="1"/>
    <col min="6388" max="6388" width="11.1640625" style="55" customWidth="1"/>
    <col min="6389" max="6389" width="9.1640625" style="55"/>
    <col min="6390" max="6390" width="10.33203125" style="55" customWidth="1"/>
    <col min="6391" max="6391" width="7.6640625" style="55" customWidth="1"/>
    <col min="6392" max="6392" width="12.6640625" style="55" customWidth="1"/>
    <col min="6393" max="6393" width="10.6640625" style="55" customWidth="1"/>
    <col min="6394" max="6394" width="12.83203125" style="55" customWidth="1"/>
    <col min="6395" max="6395" width="10.83203125" style="55" customWidth="1"/>
    <col min="6396" max="6396" width="12.5" style="55" customWidth="1"/>
    <col min="6397" max="6397" width="10.5" style="55" customWidth="1"/>
    <col min="6398" max="6398" width="13.1640625" style="55" customWidth="1"/>
    <col min="6399" max="6399" width="9.83203125" style="55" customWidth="1"/>
    <col min="6400" max="6400" width="13.6640625" style="55" customWidth="1"/>
    <col min="6401" max="6401" width="9.5" style="55" customWidth="1"/>
    <col min="6402" max="6402" width="12.5" style="55" customWidth="1"/>
    <col min="6403" max="6403" width="10" style="55" customWidth="1"/>
    <col min="6404" max="6404" width="13" style="55" customWidth="1"/>
    <col min="6405" max="6405" width="11" style="55" customWidth="1"/>
    <col min="6406" max="6406" width="13.83203125" style="55" customWidth="1"/>
    <col min="6407" max="6407" width="11.33203125" style="55" customWidth="1"/>
    <col min="6408" max="6408" width="13" style="55" customWidth="1"/>
    <col min="6409" max="6409" width="9" style="55" customWidth="1"/>
    <col min="6410" max="6410" width="3.83203125" style="55" customWidth="1"/>
    <col min="6411" max="6411" width="18.5" style="55" customWidth="1"/>
    <col min="6412" max="6412" width="10" style="55" customWidth="1"/>
    <col min="6413" max="6636" width="9.1640625" style="55"/>
    <col min="6637" max="6637" width="25.6640625" style="55" customWidth="1"/>
    <col min="6638" max="6638" width="9" style="55" customWidth="1"/>
    <col min="6639" max="6639" width="22" style="55" customWidth="1"/>
    <col min="6640" max="6640" width="4.5" style="55" customWidth="1"/>
    <col min="6641" max="6641" width="13.33203125" style="55" customWidth="1"/>
    <col min="6642" max="6642" width="14.1640625" style="55" customWidth="1"/>
    <col min="6643" max="6643" width="9.33203125" style="55" customWidth="1"/>
    <col min="6644" max="6644" width="11.1640625" style="55" customWidth="1"/>
    <col min="6645" max="6645" width="9.1640625" style="55"/>
    <col min="6646" max="6646" width="10.33203125" style="55" customWidth="1"/>
    <col min="6647" max="6647" width="7.6640625" style="55" customWidth="1"/>
    <col min="6648" max="6648" width="12.6640625" style="55" customWidth="1"/>
    <col min="6649" max="6649" width="10.6640625" style="55" customWidth="1"/>
    <col min="6650" max="6650" width="12.83203125" style="55" customWidth="1"/>
    <col min="6651" max="6651" width="10.83203125" style="55" customWidth="1"/>
    <col min="6652" max="6652" width="12.5" style="55" customWidth="1"/>
    <col min="6653" max="6653" width="10.5" style="55" customWidth="1"/>
    <col min="6654" max="6654" width="13.1640625" style="55" customWidth="1"/>
    <col min="6655" max="6655" width="9.83203125" style="55" customWidth="1"/>
    <col min="6656" max="6656" width="13.6640625" style="55" customWidth="1"/>
    <col min="6657" max="6657" width="9.5" style="55" customWidth="1"/>
    <col min="6658" max="6658" width="12.5" style="55" customWidth="1"/>
    <col min="6659" max="6659" width="10" style="55" customWidth="1"/>
    <col min="6660" max="6660" width="13" style="55" customWidth="1"/>
    <col min="6661" max="6661" width="11" style="55" customWidth="1"/>
    <col min="6662" max="6662" width="13.83203125" style="55" customWidth="1"/>
    <col min="6663" max="6663" width="11.33203125" style="55" customWidth="1"/>
    <col min="6664" max="6664" width="13" style="55" customWidth="1"/>
    <col min="6665" max="6665" width="9" style="55" customWidth="1"/>
    <col min="6666" max="6666" width="3.83203125" style="55" customWidth="1"/>
    <col min="6667" max="6667" width="18.5" style="55" customWidth="1"/>
    <col min="6668" max="6668" width="10" style="55" customWidth="1"/>
    <col min="6669" max="6892" width="9.1640625" style="55"/>
    <col min="6893" max="6893" width="25.6640625" style="55" customWidth="1"/>
    <col min="6894" max="6894" width="9" style="55" customWidth="1"/>
    <col min="6895" max="6895" width="22" style="55" customWidth="1"/>
    <col min="6896" max="6896" width="4.5" style="55" customWidth="1"/>
    <col min="6897" max="6897" width="13.33203125" style="55" customWidth="1"/>
    <col min="6898" max="6898" width="14.1640625" style="55" customWidth="1"/>
    <col min="6899" max="6899" width="9.33203125" style="55" customWidth="1"/>
    <col min="6900" max="6900" width="11.1640625" style="55" customWidth="1"/>
    <col min="6901" max="6901" width="9.1640625" style="55"/>
    <col min="6902" max="6902" width="10.33203125" style="55" customWidth="1"/>
    <col min="6903" max="6903" width="7.6640625" style="55" customWidth="1"/>
    <col min="6904" max="6904" width="12.6640625" style="55" customWidth="1"/>
    <col min="6905" max="6905" width="10.6640625" style="55" customWidth="1"/>
    <col min="6906" max="6906" width="12.83203125" style="55" customWidth="1"/>
    <col min="6907" max="6907" width="10.83203125" style="55" customWidth="1"/>
    <col min="6908" max="6908" width="12.5" style="55" customWidth="1"/>
    <col min="6909" max="6909" width="10.5" style="55" customWidth="1"/>
    <col min="6910" max="6910" width="13.1640625" style="55" customWidth="1"/>
    <col min="6911" max="6911" width="9.83203125" style="55" customWidth="1"/>
    <col min="6912" max="6912" width="13.6640625" style="55" customWidth="1"/>
    <col min="6913" max="6913" width="9.5" style="55" customWidth="1"/>
    <col min="6914" max="6914" width="12.5" style="55" customWidth="1"/>
    <col min="6915" max="6915" width="10" style="55" customWidth="1"/>
    <col min="6916" max="6916" width="13" style="55" customWidth="1"/>
    <col min="6917" max="6917" width="11" style="55" customWidth="1"/>
    <col min="6918" max="6918" width="13.83203125" style="55" customWidth="1"/>
    <col min="6919" max="6919" width="11.33203125" style="55" customWidth="1"/>
    <col min="6920" max="6920" width="13" style="55" customWidth="1"/>
    <col min="6921" max="6921" width="9" style="55" customWidth="1"/>
    <col min="6922" max="6922" width="3.83203125" style="55" customWidth="1"/>
    <col min="6923" max="6923" width="18.5" style="55" customWidth="1"/>
    <col min="6924" max="6924" width="10" style="55" customWidth="1"/>
    <col min="6925" max="7148" width="9.1640625" style="55"/>
    <col min="7149" max="7149" width="25.6640625" style="55" customWidth="1"/>
    <col min="7150" max="7150" width="9" style="55" customWidth="1"/>
    <col min="7151" max="7151" width="22" style="55" customWidth="1"/>
    <col min="7152" max="7152" width="4.5" style="55" customWidth="1"/>
    <col min="7153" max="7153" width="13.33203125" style="55" customWidth="1"/>
    <col min="7154" max="7154" width="14.1640625" style="55" customWidth="1"/>
    <col min="7155" max="7155" width="9.33203125" style="55" customWidth="1"/>
    <col min="7156" max="7156" width="11.1640625" style="55" customWidth="1"/>
    <col min="7157" max="7157" width="9.1640625" style="55"/>
    <col min="7158" max="7158" width="10.33203125" style="55" customWidth="1"/>
    <col min="7159" max="7159" width="7.6640625" style="55" customWidth="1"/>
    <col min="7160" max="7160" width="12.6640625" style="55" customWidth="1"/>
    <col min="7161" max="7161" width="10.6640625" style="55" customWidth="1"/>
    <col min="7162" max="7162" width="12.83203125" style="55" customWidth="1"/>
    <col min="7163" max="7163" width="10.83203125" style="55" customWidth="1"/>
    <col min="7164" max="7164" width="12.5" style="55" customWidth="1"/>
    <col min="7165" max="7165" width="10.5" style="55" customWidth="1"/>
    <col min="7166" max="7166" width="13.1640625" style="55" customWidth="1"/>
    <col min="7167" max="7167" width="9.83203125" style="55" customWidth="1"/>
    <col min="7168" max="7168" width="13.6640625" style="55" customWidth="1"/>
    <col min="7169" max="7169" width="9.5" style="55" customWidth="1"/>
    <col min="7170" max="7170" width="12.5" style="55" customWidth="1"/>
    <col min="7171" max="7171" width="10" style="55" customWidth="1"/>
    <col min="7172" max="7172" width="13" style="55" customWidth="1"/>
    <col min="7173" max="7173" width="11" style="55" customWidth="1"/>
    <col min="7174" max="7174" width="13.83203125" style="55" customWidth="1"/>
    <col min="7175" max="7175" width="11.33203125" style="55" customWidth="1"/>
    <col min="7176" max="7176" width="13" style="55" customWidth="1"/>
    <col min="7177" max="7177" width="9" style="55" customWidth="1"/>
    <col min="7178" max="7178" width="3.83203125" style="55" customWidth="1"/>
    <col min="7179" max="7179" width="18.5" style="55" customWidth="1"/>
    <col min="7180" max="7180" width="10" style="55" customWidth="1"/>
    <col min="7181" max="7404" width="9.1640625" style="55"/>
    <col min="7405" max="7405" width="25.6640625" style="55" customWidth="1"/>
    <col min="7406" max="7406" width="9" style="55" customWidth="1"/>
    <col min="7407" max="7407" width="22" style="55" customWidth="1"/>
    <col min="7408" max="7408" width="4.5" style="55" customWidth="1"/>
    <col min="7409" max="7409" width="13.33203125" style="55" customWidth="1"/>
    <col min="7410" max="7410" width="14.1640625" style="55" customWidth="1"/>
    <col min="7411" max="7411" width="9.33203125" style="55" customWidth="1"/>
    <col min="7412" max="7412" width="11.1640625" style="55" customWidth="1"/>
    <col min="7413" max="7413" width="9.1640625" style="55"/>
    <col min="7414" max="7414" width="10.33203125" style="55" customWidth="1"/>
    <col min="7415" max="7415" width="7.6640625" style="55" customWidth="1"/>
    <col min="7416" max="7416" width="12.6640625" style="55" customWidth="1"/>
    <col min="7417" max="7417" width="10.6640625" style="55" customWidth="1"/>
    <col min="7418" max="7418" width="12.83203125" style="55" customWidth="1"/>
    <col min="7419" max="7419" width="10.83203125" style="55" customWidth="1"/>
    <col min="7420" max="7420" width="12.5" style="55" customWidth="1"/>
    <col min="7421" max="7421" width="10.5" style="55" customWidth="1"/>
    <col min="7422" max="7422" width="13.1640625" style="55" customWidth="1"/>
    <col min="7423" max="7423" width="9.83203125" style="55" customWidth="1"/>
    <col min="7424" max="7424" width="13.6640625" style="55" customWidth="1"/>
    <col min="7425" max="7425" width="9.5" style="55" customWidth="1"/>
    <col min="7426" max="7426" width="12.5" style="55" customWidth="1"/>
    <col min="7427" max="7427" width="10" style="55" customWidth="1"/>
    <col min="7428" max="7428" width="13" style="55" customWidth="1"/>
    <col min="7429" max="7429" width="11" style="55" customWidth="1"/>
    <col min="7430" max="7430" width="13.83203125" style="55" customWidth="1"/>
    <col min="7431" max="7431" width="11.33203125" style="55" customWidth="1"/>
    <col min="7432" max="7432" width="13" style="55" customWidth="1"/>
    <col min="7433" max="7433" width="9" style="55" customWidth="1"/>
    <col min="7434" max="7434" width="3.83203125" style="55" customWidth="1"/>
    <col min="7435" max="7435" width="18.5" style="55" customWidth="1"/>
    <col min="7436" max="7436" width="10" style="55" customWidth="1"/>
    <col min="7437" max="7660" width="9.1640625" style="55"/>
    <col min="7661" max="7661" width="25.6640625" style="55" customWidth="1"/>
    <col min="7662" max="7662" width="9" style="55" customWidth="1"/>
    <col min="7663" max="7663" width="22" style="55" customWidth="1"/>
    <col min="7664" max="7664" width="4.5" style="55" customWidth="1"/>
    <col min="7665" max="7665" width="13.33203125" style="55" customWidth="1"/>
    <col min="7666" max="7666" width="14.1640625" style="55" customWidth="1"/>
    <col min="7667" max="7667" width="9.33203125" style="55" customWidth="1"/>
    <col min="7668" max="7668" width="11.1640625" style="55" customWidth="1"/>
    <col min="7669" max="7669" width="9.1640625" style="55"/>
    <col min="7670" max="7670" width="10.33203125" style="55" customWidth="1"/>
    <col min="7671" max="7671" width="7.6640625" style="55" customWidth="1"/>
    <col min="7672" max="7672" width="12.6640625" style="55" customWidth="1"/>
    <col min="7673" max="7673" width="10.6640625" style="55" customWidth="1"/>
    <col min="7674" max="7674" width="12.83203125" style="55" customWidth="1"/>
    <col min="7675" max="7675" width="10.83203125" style="55" customWidth="1"/>
    <col min="7676" max="7676" width="12.5" style="55" customWidth="1"/>
    <col min="7677" max="7677" width="10.5" style="55" customWidth="1"/>
    <col min="7678" max="7678" width="13.1640625" style="55" customWidth="1"/>
    <col min="7679" max="7679" width="9.83203125" style="55" customWidth="1"/>
    <col min="7680" max="7680" width="13.6640625" style="55" customWidth="1"/>
    <col min="7681" max="7681" width="9.5" style="55" customWidth="1"/>
    <col min="7682" max="7682" width="12.5" style="55" customWidth="1"/>
    <col min="7683" max="7683" width="10" style="55" customWidth="1"/>
    <col min="7684" max="7684" width="13" style="55" customWidth="1"/>
    <col min="7685" max="7685" width="11" style="55" customWidth="1"/>
    <col min="7686" max="7686" width="13.83203125" style="55" customWidth="1"/>
    <col min="7687" max="7687" width="11.33203125" style="55" customWidth="1"/>
    <col min="7688" max="7688" width="13" style="55" customWidth="1"/>
    <col min="7689" max="7689" width="9" style="55" customWidth="1"/>
    <col min="7690" max="7690" width="3.83203125" style="55" customWidth="1"/>
    <col min="7691" max="7691" width="18.5" style="55" customWidth="1"/>
    <col min="7692" max="7692" width="10" style="55" customWidth="1"/>
    <col min="7693" max="7916" width="9.1640625" style="55"/>
    <col min="7917" max="7917" width="25.6640625" style="55" customWidth="1"/>
    <col min="7918" max="7918" width="9" style="55" customWidth="1"/>
    <col min="7919" max="7919" width="22" style="55" customWidth="1"/>
    <col min="7920" max="7920" width="4.5" style="55" customWidth="1"/>
    <col min="7921" max="7921" width="13.33203125" style="55" customWidth="1"/>
    <col min="7922" max="7922" width="14.1640625" style="55" customWidth="1"/>
    <col min="7923" max="7923" width="9.33203125" style="55" customWidth="1"/>
    <col min="7924" max="7924" width="11.1640625" style="55" customWidth="1"/>
    <col min="7925" max="7925" width="9.1640625" style="55"/>
    <col min="7926" max="7926" width="10.33203125" style="55" customWidth="1"/>
    <col min="7927" max="7927" width="7.6640625" style="55" customWidth="1"/>
    <col min="7928" max="7928" width="12.6640625" style="55" customWidth="1"/>
    <col min="7929" max="7929" width="10.6640625" style="55" customWidth="1"/>
    <col min="7930" max="7930" width="12.83203125" style="55" customWidth="1"/>
    <col min="7931" max="7931" width="10.83203125" style="55" customWidth="1"/>
    <col min="7932" max="7932" width="12.5" style="55" customWidth="1"/>
    <col min="7933" max="7933" width="10.5" style="55" customWidth="1"/>
    <col min="7934" max="7934" width="13.1640625" style="55" customWidth="1"/>
    <col min="7935" max="7935" width="9.83203125" style="55" customWidth="1"/>
    <col min="7936" max="7936" width="13.6640625" style="55" customWidth="1"/>
    <col min="7937" max="7937" width="9.5" style="55" customWidth="1"/>
    <col min="7938" max="7938" width="12.5" style="55" customWidth="1"/>
    <col min="7939" max="7939" width="10" style="55" customWidth="1"/>
    <col min="7940" max="7940" width="13" style="55" customWidth="1"/>
    <col min="7941" max="7941" width="11" style="55" customWidth="1"/>
    <col min="7942" max="7942" width="13.83203125" style="55" customWidth="1"/>
    <col min="7943" max="7943" width="11.33203125" style="55" customWidth="1"/>
    <col min="7944" max="7944" width="13" style="55" customWidth="1"/>
    <col min="7945" max="7945" width="9" style="55" customWidth="1"/>
    <col min="7946" max="7946" width="3.83203125" style="55" customWidth="1"/>
    <col min="7947" max="7947" width="18.5" style="55" customWidth="1"/>
    <col min="7948" max="7948" width="10" style="55" customWidth="1"/>
    <col min="7949" max="8172" width="9.1640625" style="55"/>
    <col min="8173" max="8173" width="25.6640625" style="55" customWidth="1"/>
    <col min="8174" max="8174" width="9" style="55" customWidth="1"/>
    <col min="8175" max="8175" width="22" style="55" customWidth="1"/>
    <col min="8176" max="8176" width="4.5" style="55" customWidth="1"/>
    <col min="8177" max="8177" width="13.33203125" style="55" customWidth="1"/>
    <col min="8178" max="8178" width="14.1640625" style="55" customWidth="1"/>
    <col min="8179" max="8179" width="9.33203125" style="55" customWidth="1"/>
    <col min="8180" max="8180" width="11.1640625" style="55" customWidth="1"/>
    <col min="8181" max="8181" width="9.1640625" style="55"/>
    <col min="8182" max="8182" width="10.33203125" style="55" customWidth="1"/>
    <col min="8183" max="8183" width="7.6640625" style="55" customWidth="1"/>
    <col min="8184" max="8184" width="12.6640625" style="55" customWidth="1"/>
    <col min="8185" max="8185" width="10.6640625" style="55" customWidth="1"/>
    <col min="8186" max="8186" width="12.83203125" style="55" customWidth="1"/>
    <col min="8187" max="8187" width="10.83203125" style="55" customWidth="1"/>
    <col min="8188" max="8188" width="12.5" style="55" customWidth="1"/>
    <col min="8189" max="8189" width="10.5" style="55" customWidth="1"/>
    <col min="8190" max="8190" width="13.1640625" style="55" customWidth="1"/>
    <col min="8191" max="8191" width="9.83203125" style="55" customWidth="1"/>
    <col min="8192" max="8192" width="13.6640625" style="55" customWidth="1"/>
    <col min="8193" max="8193" width="9.5" style="55" customWidth="1"/>
    <col min="8194" max="8194" width="12.5" style="55" customWidth="1"/>
    <col min="8195" max="8195" width="10" style="55" customWidth="1"/>
    <col min="8196" max="8196" width="13" style="55" customWidth="1"/>
    <col min="8197" max="8197" width="11" style="55" customWidth="1"/>
    <col min="8198" max="8198" width="13.83203125" style="55" customWidth="1"/>
    <col min="8199" max="8199" width="11.33203125" style="55" customWidth="1"/>
    <col min="8200" max="8200" width="13" style="55" customWidth="1"/>
    <col min="8201" max="8201" width="9" style="55" customWidth="1"/>
    <col min="8202" max="8202" width="3.83203125" style="55" customWidth="1"/>
    <col min="8203" max="8203" width="18.5" style="55" customWidth="1"/>
    <col min="8204" max="8204" width="10" style="55" customWidth="1"/>
    <col min="8205" max="8428" width="9.1640625" style="55"/>
    <col min="8429" max="8429" width="25.6640625" style="55" customWidth="1"/>
    <col min="8430" max="8430" width="9" style="55" customWidth="1"/>
    <col min="8431" max="8431" width="22" style="55" customWidth="1"/>
    <col min="8432" max="8432" width="4.5" style="55" customWidth="1"/>
    <col min="8433" max="8433" width="13.33203125" style="55" customWidth="1"/>
    <col min="8434" max="8434" width="14.1640625" style="55" customWidth="1"/>
    <col min="8435" max="8435" width="9.33203125" style="55" customWidth="1"/>
    <col min="8436" max="8436" width="11.1640625" style="55" customWidth="1"/>
    <col min="8437" max="8437" width="9.1640625" style="55"/>
    <col min="8438" max="8438" width="10.33203125" style="55" customWidth="1"/>
    <col min="8439" max="8439" width="7.6640625" style="55" customWidth="1"/>
    <col min="8440" max="8440" width="12.6640625" style="55" customWidth="1"/>
    <col min="8441" max="8441" width="10.6640625" style="55" customWidth="1"/>
    <col min="8442" max="8442" width="12.83203125" style="55" customWidth="1"/>
    <col min="8443" max="8443" width="10.83203125" style="55" customWidth="1"/>
    <col min="8444" max="8444" width="12.5" style="55" customWidth="1"/>
    <col min="8445" max="8445" width="10.5" style="55" customWidth="1"/>
    <col min="8446" max="8446" width="13.1640625" style="55" customWidth="1"/>
    <col min="8447" max="8447" width="9.83203125" style="55" customWidth="1"/>
    <col min="8448" max="8448" width="13.6640625" style="55" customWidth="1"/>
    <col min="8449" max="8449" width="9.5" style="55" customWidth="1"/>
    <col min="8450" max="8450" width="12.5" style="55" customWidth="1"/>
    <col min="8451" max="8451" width="10" style="55" customWidth="1"/>
    <col min="8452" max="8452" width="13" style="55" customWidth="1"/>
    <col min="8453" max="8453" width="11" style="55" customWidth="1"/>
    <col min="8454" max="8454" width="13.83203125" style="55" customWidth="1"/>
    <col min="8455" max="8455" width="11.33203125" style="55" customWidth="1"/>
    <col min="8456" max="8456" width="13" style="55" customWidth="1"/>
    <col min="8457" max="8457" width="9" style="55" customWidth="1"/>
    <col min="8458" max="8458" width="3.83203125" style="55" customWidth="1"/>
    <col min="8459" max="8459" width="18.5" style="55" customWidth="1"/>
    <col min="8460" max="8460" width="10" style="55" customWidth="1"/>
    <col min="8461" max="8684" width="9.1640625" style="55"/>
    <col min="8685" max="8685" width="25.6640625" style="55" customWidth="1"/>
    <col min="8686" max="8686" width="9" style="55" customWidth="1"/>
    <col min="8687" max="8687" width="22" style="55" customWidth="1"/>
    <col min="8688" max="8688" width="4.5" style="55" customWidth="1"/>
    <col min="8689" max="8689" width="13.33203125" style="55" customWidth="1"/>
    <col min="8690" max="8690" width="14.1640625" style="55" customWidth="1"/>
    <col min="8691" max="8691" width="9.33203125" style="55" customWidth="1"/>
    <col min="8692" max="8692" width="11.1640625" style="55" customWidth="1"/>
    <col min="8693" max="8693" width="9.1640625" style="55"/>
    <col min="8694" max="8694" width="10.33203125" style="55" customWidth="1"/>
    <col min="8695" max="8695" width="7.6640625" style="55" customWidth="1"/>
    <col min="8696" max="8696" width="12.6640625" style="55" customWidth="1"/>
    <col min="8697" max="8697" width="10.6640625" style="55" customWidth="1"/>
    <col min="8698" max="8698" width="12.83203125" style="55" customWidth="1"/>
    <col min="8699" max="8699" width="10.83203125" style="55" customWidth="1"/>
    <col min="8700" max="8700" width="12.5" style="55" customWidth="1"/>
    <col min="8701" max="8701" width="10.5" style="55" customWidth="1"/>
    <col min="8702" max="8702" width="13.1640625" style="55" customWidth="1"/>
    <col min="8703" max="8703" width="9.83203125" style="55" customWidth="1"/>
    <col min="8704" max="8704" width="13.6640625" style="55" customWidth="1"/>
    <col min="8705" max="8705" width="9.5" style="55" customWidth="1"/>
    <col min="8706" max="8706" width="12.5" style="55" customWidth="1"/>
    <col min="8707" max="8707" width="10" style="55" customWidth="1"/>
    <col min="8708" max="8708" width="13" style="55" customWidth="1"/>
    <col min="8709" max="8709" width="11" style="55" customWidth="1"/>
    <col min="8710" max="8710" width="13.83203125" style="55" customWidth="1"/>
    <col min="8711" max="8711" width="11.33203125" style="55" customWidth="1"/>
    <col min="8712" max="8712" width="13" style="55" customWidth="1"/>
    <col min="8713" max="8713" width="9" style="55" customWidth="1"/>
    <col min="8714" max="8714" width="3.83203125" style="55" customWidth="1"/>
    <col min="8715" max="8715" width="18.5" style="55" customWidth="1"/>
    <col min="8716" max="8716" width="10" style="55" customWidth="1"/>
    <col min="8717" max="8940" width="9.1640625" style="55"/>
    <col min="8941" max="8941" width="25.6640625" style="55" customWidth="1"/>
    <col min="8942" max="8942" width="9" style="55" customWidth="1"/>
    <col min="8943" max="8943" width="22" style="55" customWidth="1"/>
    <col min="8944" max="8944" width="4.5" style="55" customWidth="1"/>
    <col min="8945" max="8945" width="13.33203125" style="55" customWidth="1"/>
    <col min="8946" max="8946" width="14.1640625" style="55" customWidth="1"/>
    <col min="8947" max="8947" width="9.33203125" style="55" customWidth="1"/>
    <col min="8948" max="8948" width="11.1640625" style="55" customWidth="1"/>
    <col min="8949" max="8949" width="9.1640625" style="55"/>
    <col min="8950" max="8950" width="10.33203125" style="55" customWidth="1"/>
    <col min="8951" max="8951" width="7.6640625" style="55" customWidth="1"/>
    <col min="8952" max="8952" width="12.6640625" style="55" customWidth="1"/>
    <col min="8953" max="8953" width="10.6640625" style="55" customWidth="1"/>
    <col min="8954" max="8954" width="12.83203125" style="55" customWidth="1"/>
    <col min="8955" max="8955" width="10.83203125" style="55" customWidth="1"/>
    <col min="8956" max="8956" width="12.5" style="55" customWidth="1"/>
    <col min="8957" max="8957" width="10.5" style="55" customWidth="1"/>
    <col min="8958" max="8958" width="13.1640625" style="55" customWidth="1"/>
    <col min="8959" max="8959" width="9.83203125" style="55" customWidth="1"/>
    <col min="8960" max="8960" width="13.6640625" style="55" customWidth="1"/>
    <col min="8961" max="8961" width="9.5" style="55" customWidth="1"/>
    <col min="8962" max="8962" width="12.5" style="55" customWidth="1"/>
    <col min="8963" max="8963" width="10" style="55" customWidth="1"/>
    <col min="8964" max="8964" width="13" style="55" customWidth="1"/>
    <col min="8965" max="8965" width="11" style="55" customWidth="1"/>
    <col min="8966" max="8966" width="13.83203125" style="55" customWidth="1"/>
    <col min="8967" max="8967" width="11.33203125" style="55" customWidth="1"/>
    <col min="8968" max="8968" width="13" style="55" customWidth="1"/>
    <col min="8969" max="8969" width="9" style="55" customWidth="1"/>
    <col min="8970" max="8970" width="3.83203125" style="55" customWidth="1"/>
    <col min="8971" max="8971" width="18.5" style="55" customWidth="1"/>
    <col min="8972" max="8972" width="10" style="55" customWidth="1"/>
    <col min="8973" max="9196" width="9.1640625" style="55"/>
    <col min="9197" max="9197" width="25.6640625" style="55" customWidth="1"/>
    <col min="9198" max="9198" width="9" style="55" customWidth="1"/>
    <col min="9199" max="9199" width="22" style="55" customWidth="1"/>
    <col min="9200" max="9200" width="4.5" style="55" customWidth="1"/>
    <col min="9201" max="9201" width="13.33203125" style="55" customWidth="1"/>
    <col min="9202" max="9202" width="14.1640625" style="55" customWidth="1"/>
    <col min="9203" max="9203" width="9.33203125" style="55" customWidth="1"/>
    <col min="9204" max="9204" width="11.1640625" style="55" customWidth="1"/>
    <col min="9205" max="9205" width="9.1640625" style="55"/>
    <col min="9206" max="9206" width="10.33203125" style="55" customWidth="1"/>
    <col min="9207" max="9207" width="7.6640625" style="55" customWidth="1"/>
    <col min="9208" max="9208" width="12.6640625" style="55" customWidth="1"/>
    <col min="9209" max="9209" width="10.6640625" style="55" customWidth="1"/>
    <col min="9210" max="9210" width="12.83203125" style="55" customWidth="1"/>
    <col min="9211" max="9211" width="10.83203125" style="55" customWidth="1"/>
    <col min="9212" max="9212" width="12.5" style="55" customWidth="1"/>
    <col min="9213" max="9213" width="10.5" style="55" customWidth="1"/>
    <col min="9214" max="9214" width="13.1640625" style="55" customWidth="1"/>
    <col min="9215" max="9215" width="9.83203125" style="55" customWidth="1"/>
    <col min="9216" max="9216" width="13.6640625" style="55" customWidth="1"/>
    <col min="9217" max="9217" width="9.5" style="55" customWidth="1"/>
    <col min="9218" max="9218" width="12.5" style="55" customWidth="1"/>
    <col min="9219" max="9219" width="10" style="55" customWidth="1"/>
    <col min="9220" max="9220" width="13" style="55" customWidth="1"/>
    <col min="9221" max="9221" width="11" style="55" customWidth="1"/>
    <col min="9222" max="9222" width="13.83203125" style="55" customWidth="1"/>
    <col min="9223" max="9223" width="11.33203125" style="55" customWidth="1"/>
    <col min="9224" max="9224" width="13" style="55" customWidth="1"/>
    <col min="9225" max="9225" width="9" style="55" customWidth="1"/>
    <col min="9226" max="9226" width="3.83203125" style="55" customWidth="1"/>
    <col min="9227" max="9227" width="18.5" style="55" customWidth="1"/>
    <col min="9228" max="9228" width="10" style="55" customWidth="1"/>
    <col min="9229" max="9452" width="9.1640625" style="55"/>
    <col min="9453" max="9453" width="25.6640625" style="55" customWidth="1"/>
    <col min="9454" max="9454" width="9" style="55" customWidth="1"/>
    <col min="9455" max="9455" width="22" style="55" customWidth="1"/>
    <col min="9456" max="9456" width="4.5" style="55" customWidth="1"/>
    <col min="9457" max="9457" width="13.33203125" style="55" customWidth="1"/>
    <col min="9458" max="9458" width="14.1640625" style="55" customWidth="1"/>
    <col min="9459" max="9459" width="9.33203125" style="55" customWidth="1"/>
    <col min="9460" max="9460" width="11.1640625" style="55" customWidth="1"/>
    <col min="9461" max="9461" width="9.1640625" style="55"/>
    <col min="9462" max="9462" width="10.33203125" style="55" customWidth="1"/>
    <col min="9463" max="9463" width="7.6640625" style="55" customWidth="1"/>
    <col min="9464" max="9464" width="12.6640625" style="55" customWidth="1"/>
    <col min="9465" max="9465" width="10.6640625" style="55" customWidth="1"/>
    <col min="9466" max="9466" width="12.83203125" style="55" customWidth="1"/>
    <col min="9467" max="9467" width="10.83203125" style="55" customWidth="1"/>
    <col min="9468" max="9468" width="12.5" style="55" customWidth="1"/>
    <col min="9469" max="9469" width="10.5" style="55" customWidth="1"/>
    <col min="9470" max="9470" width="13.1640625" style="55" customWidth="1"/>
    <col min="9471" max="9471" width="9.83203125" style="55" customWidth="1"/>
    <col min="9472" max="9472" width="13.6640625" style="55" customWidth="1"/>
    <col min="9473" max="9473" width="9.5" style="55" customWidth="1"/>
    <col min="9474" max="9474" width="12.5" style="55" customWidth="1"/>
    <col min="9475" max="9475" width="10" style="55" customWidth="1"/>
    <col min="9476" max="9476" width="13" style="55" customWidth="1"/>
    <col min="9477" max="9477" width="11" style="55" customWidth="1"/>
    <col min="9478" max="9478" width="13.83203125" style="55" customWidth="1"/>
    <col min="9479" max="9479" width="11.33203125" style="55" customWidth="1"/>
    <col min="9480" max="9480" width="13" style="55" customWidth="1"/>
    <col min="9481" max="9481" width="9" style="55" customWidth="1"/>
    <col min="9482" max="9482" width="3.83203125" style="55" customWidth="1"/>
    <col min="9483" max="9483" width="18.5" style="55" customWidth="1"/>
    <col min="9484" max="9484" width="10" style="55" customWidth="1"/>
    <col min="9485" max="9708" width="9.1640625" style="55"/>
    <col min="9709" max="9709" width="25.6640625" style="55" customWidth="1"/>
    <col min="9710" max="9710" width="9" style="55" customWidth="1"/>
    <col min="9711" max="9711" width="22" style="55" customWidth="1"/>
    <col min="9712" max="9712" width="4.5" style="55" customWidth="1"/>
    <col min="9713" max="9713" width="13.33203125" style="55" customWidth="1"/>
    <col min="9714" max="9714" width="14.1640625" style="55" customWidth="1"/>
    <col min="9715" max="9715" width="9.33203125" style="55" customWidth="1"/>
    <col min="9716" max="9716" width="11.1640625" style="55" customWidth="1"/>
    <col min="9717" max="9717" width="9.1640625" style="55"/>
    <col min="9718" max="9718" width="10.33203125" style="55" customWidth="1"/>
    <col min="9719" max="9719" width="7.6640625" style="55" customWidth="1"/>
    <col min="9720" max="9720" width="12.6640625" style="55" customWidth="1"/>
    <col min="9721" max="9721" width="10.6640625" style="55" customWidth="1"/>
    <col min="9722" max="9722" width="12.83203125" style="55" customWidth="1"/>
    <col min="9723" max="9723" width="10.83203125" style="55" customWidth="1"/>
    <col min="9724" max="9724" width="12.5" style="55" customWidth="1"/>
    <col min="9725" max="9725" width="10.5" style="55" customWidth="1"/>
    <col min="9726" max="9726" width="13.1640625" style="55" customWidth="1"/>
    <col min="9727" max="9727" width="9.83203125" style="55" customWidth="1"/>
    <col min="9728" max="9728" width="13.6640625" style="55" customWidth="1"/>
    <col min="9729" max="9729" width="9.5" style="55" customWidth="1"/>
    <col min="9730" max="9730" width="12.5" style="55" customWidth="1"/>
    <col min="9731" max="9731" width="10" style="55" customWidth="1"/>
    <col min="9732" max="9732" width="13" style="55" customWidth="1"/>
    <col min="9733" max="9733" width="11" style="55" customWidth="1"/>
    <col min="9734" max="9734" width="13.83203125" style="55" customWidth="1"/>
    <col min="9735" max="9735" width="11.33203125" style="55" customWidth="1"/>
    <col min="9736" max="9736" width="13" style="55" customWidth="1"/>
    <col min="9737" max="9737" width="9" style="55" customWidth="1"/>
    <col min="9738" max="9738" width="3.83203125" style="55" customWidth="1"/>
    <col min="9739" max="9739" width="18.5" style="55" customWidth="1"/>
    <col min="9740" max="9740" width="10" style="55" customWidth="1"/>
    <col min="9741" max="9964" width="9.1640625" style="55"/>
    <col min="9965" max="9965" width="25.6640625" style="55" customWidth="1"/>
    <col min="9966" max="9966" width="9" style="55" customWidth="1"/>
    <col min="9967" max="9967" width="22" style="55" customWidth="1"/>
    <col min="9968" max="9968" width="4.5" style="55" customWidth="1"/>
    <col min="9969" max="9969" width="13.33203125" style="55" customWidth="1"/>
    <col min="9970" max="9970" width="14.1640625" style="55" customWidth="1"/>
    <col min="9971" max="9971" width="9.33203125" style="55" customWidth="1"/>
    <col min="9972" max="9972" width="11.1640625" style="55" customWidth="1"/>
    <col min="9973" max="9973" width="9.1640625" style="55"/>
    <col min="9974" max="9974" width="10.33203125" style="55" customWidth="1"/>
    <col min="9975" max="9975" width="7.6640625" style="55" customWidth="1"/>
    <col min="9976" max="9976" width="12.6640625" style="55" customWidth="1"/>
    <col min="9977" max="9977" width="10.6640625" style="55" customWidth="1"/>
    <col min="9978" max="9978" width="12.83203125" style="55" customWidth="1"/>
    <col min="9979" max="9979" width="10.83203125" style="55" customWidth="1"/>
    <col min="9980" max="9980" width="12.5" style="55" customWidth="1"/>
    <col min="9981" max="9981" width="10.5" style="55" customWidth="1"/>
    <col min="9982" max="9982" width="13.1640625" style="55" customWidth="1"/>
    <col min="9983" max="9983" width="9.83203125" style="55" customWidth="1"/>
    <col min="9984" max="9984" width="13.6640625" style="55" customWidth="1"/>
    <col min="9985" max="9985" width="9.5" style="55" customWidth="1"/>
    <col min="9986" max="9986" width="12.5" style="55" customWidth="1"/>
    <col min="9987" max="9987" width="10" style="55" customWidth="1"/>
    <col min="9988" max="9988" width="13" style="55" customWidth="1"/>
    <col min="9989" max="9989" width="11" style="55" customWidth="1"/>
    <col min="9990" max="9990" width="13.83203125" style="55" customWidth="1"/>
    <col min="9991" max="9991" width="11.33203125" style="55" customWidth="1"/>
    <col min="9992" max="9992" width="13" style="55" customWidth="1"/>
    <col min="9993" max="9993" width="9" style="55" customWidth="1"/>
    <col min="9994" max="9994" width="3.83203125" style="55" customWidth="1"/>
    <col min="9995" max="9995" width="18.5" style="55" customWidth="1"/>
    <col min="9996" max="9996" width="10" style="55" customWidth="1"/>
    <col min="9997" max="10220" width="9.1640625" style="55"/>
    <col min="10221" max="10221" width="25.6640625" style="55" customWidth="1"/>
    <col min="10222" max="10222" width="9" style="55" customWidth="1"/>
    <col min="10223" max="10223" width="22" style="55" customWidth="1"/>
    <col min="10224" max="10224" width="4.5" style="55" customWidth="1"/>
    <col min="10225" max="10225" width="13.33203125" style="55" customWidth="1"/>
    <col min="10226" max="10226" width="14.1640625" style="55" customWidth="1"/>
    <col min="10227" max="10227" width="9.33203125" style="55" customWidth="1"/>
    <col min="10228" max="10228" width="11.1640625" style="55" customWidth="1"/>
    <col min="10229" max="10229" width="9.1640625" style="55"/>
    <col min="10230" max="10230" width="10.33203125" style="55" customWidth="1"/>
    <col min="10231" max="10231" width="7.6640625" style="55" customWidth="1"/>
    <col min="10232" max="10232" width="12.6640625" style="55" customWidth="1"/>
    <col min="10233" max="10233" width="10.6640625" style="55" customWidth="1"/>
    <col min="10234" max="10234" width="12.83203125" style="55" customWidth="1"/>
    <col min="10235" max="10235" width="10.83203125" style="55" customWidth="1"/>
    <col min="10236" max="10236" width="12.5" style="55" customWidth="1"/>
    <col min="10237" max="10237" width="10.5" style="55" customWidth="1"/>
    <col min="10238" max="10238" width="13.1640625" style="55" customWidth="1"/>
    <col min="10239" max="10239" width="9.83203125" style="55" customWidth="1"/>
    <col min="10240" max="10240" width="13.6640625" style="55" customWidth="1"/>
    <col min="10241" max="10241" width="9.5" style="55" customWidth="1"/>
    <col min="10242" max="10242" width="12.5" style="55" customWidth="1"/>
    <col min="10243" max="10243" width="10" style="55" customWidth="1"/>
    <col min="10244" max="10244" width="13" style="55" customWidth="1"/>
    <col min="10245" max="10245" width="11" style="55" customWidth="1"/>
    <col min="10246" max="10246" width="13.83203125" style="55" customWidth="1"/>
    <col min="10247" max="10247" width="11.33203125" style="55" customWidth="1"/>
    <col min="10248" max="10248" width="13" style="55" customWidth="1"/>
    <col min="10249" max="10249" width="9" style="55" customWidth="1"/>
    <col min="10250" max="10250" width="3.83203125" style="55" customWidth="1"/>
    <col min="10251" max="10251" width="18.5" style="55" customWidth="1"/>
    <col min="10252" max="10252" width="10" style="55" customWidth="1"/>
    <col min="10253" max="10476" width="9.1640625" style="55"/>
    <col min="10477" max="10477" width="25.6640625" style="55" customWidth="1"/>
    <col min="10478" max="10478" width="9" style="55" customWidth="1"/>
    <col min="10479" max="10479" width="22" style="55" customWidth="1"/>
    <col min="10480" max="10480" width="4.5" style="55" customWidth="1"/>
    <col min="10481" max="10481" width="13.33203125" style="55" customWidth="1"/>
    <col min="10482" max="10482" width="14.1640625" style="55" customWidth="1"/>
    <col min="10483" max="10483" width="9.33203125" style="55" customWidth="1"/>
    <col min="10484" max="10484" width="11.1640625" style="55" customWidth="1"/>
    <col min="10485" max="10485" width="9.1640625" style="55"/>
    <col min="10486" max="10486" width="10.33203125" style="55" customWidth="1"/>
    <col min="10487" max="10487" width="7.6640625" style="55" customWidth="1"/>
    <col min="10488" max="10488" width="12.6640625" style="55" customWidth="1"/>
    <col min="10489" max="10489" width="10.6640625" style="55" customWidth="1"/>
    <col min="10490" max="10490" width="12.83203125" style="55" customWidth="1"/>
    <col min="10491" max="10491" width="10.83203125" style="55" customWidth="1"/>
    <col min="10492" max="10492" width="12.5" style="55" customWidth="1"/>
    <col min="10493" max="10493" width="10.5" style="55" customWidth="1"/>
    <col min="10494" max="10494" width="13.1640625" style="55" customWidth="1"/>
    <col min="10495" max="10495" width="9.83203125" style="55" customWidth="1"/>
    <col min="10496" max="10496" width="13.6640625" style="55" customWidth="1"/>
    <col min="10497" max="10497" width="9.5" style="55" customWidth="1"/>
    <col min="10498" max="10498" width="12.5" style="55" customWidth="1"/>
    <col min="10499" max="10499" width="10" style="55" customWidth="1"/>
    <col min="10500" max="10500" width="13" style="55" customWidth="1"/>
    <col min="10501" max="10501" width="11" style="55" customWidth="1"/>
    <col min="10502" max="10502" width="13.83203125" style="55" customWidth="1"/>
    <col min="10503" max="10503" width="11.33203125" style="55" customWidth="1"/>
    <col min="10504" max="10504" width="13" style="55" customWidth="1"/>
    <col min="10505" max="10505" width="9" style="55" customWidth="1"/>
    <col min="10506" max="10506" width="3.83203125" style="55" customWidth="1"/>
    <col min="10507" max="10507" width="18.5" style="55" customWidth="1"/>
    <col min="10508" max="10508" width="10" style="55" customWidth="1"/>
    <col min="10509" max="10732" width="9.1640625" style="55"/>
    <col min="10733" max="10733" width="25.6640625" style="55" customWidth="1"/>
    <col min="10734" max="10734" width="9" style="55" customWidth="1"/>
    <col min="10735" max="10735" width="22" style="55" customWidth="1"/>
    <col min="10736" max="10736" width="4.5" style="55" customWidth="1"/>
    <col min="10737" max="10737" width="13.33203125" style="55" customWidth="1"/>
    <col min="10738" max="10738" width="14.1640625" style="55" customWidth="1"/>
    <col min="10739" max="10739" width="9.33203125" style="55" customWidth="1"/>
    <col min="10740" max="10740" width="11.1640625" style="55" customWidth="1"/>
    <col min="10741" max="10741" width="9.1640625" style="55"/>
    <col min="10742" max="10742" width="10.33203125" style="55" customWidth="1"/>
    <col min="10743" max="10743" width="7.6640625" style="55" customWidth="1"/>
    <col min="10744" max="10744" width="12.6640625" style="55" customWidth="1"/>
    <col min="10745" max="10745" width="10.6640625" style="55" customWidth="1"/>
    <col min="10746" max="10746" width="12.83203125" style="55" customWidth="1"/>
    <col min="10747" max="10747" width="10.83203125" style="55" customWidth="1"/>
    <col min="10748" max="10748" width="12.5" style="55" customWidth="1"/>
    <col min="10749" max="10749" width="10.5" style="55" customWidth="1"/>
    <col min="10750" max="10750" width="13.1640625" style="55" customWidth="1"/>
    <col min="10751" max="10751" width="9.83203125" style="55" customWidth="1"/>
    <col min="10752" max="10752" width="13.6640625" style="55" customWidth="1"/>
    <col min="10753" max="10753" width="9.5" style="55" customWidth="1"/>
    <col min="10754" max="10754" width="12.5" style="55" customWidth="1"/>
    <col min="10755" max="10755" width="10" style="55" customWidth="1"/>
    <col min="10756" max="10756" width="13" style="55" customWidth="1"/>
    <col min="10757" max="10757" width="11" style="55" customWidth="1"/>
    <col min="10758" max="10758" width="13.83203125" style="55" customWidth="1"/>
    <col min="10759" max="10759" width="11.33203125" style="55" customWidth="1"/>
    <col min="10760" max="10760" width="13" style="55" customWidth="1"/>
    <col min="10761" max="10761" width="9" style="55" customWidth="1"/>
    <col min="10762" max="10762" width="3.83203125" style="55" customWidth="1"/>
    <col min="10763" max="10763" width="18.5" style="55" customWidth="1"/>
    <col min="10764" max="10764" width="10" style="55" customWidth="1"/>
    <col min="10765" max="10988" width="9.1640625" style="55"/>
    <col min="10989" max="10989" width="25.6640625" style="55" customWidth="1"/>
    <col min="10990" max="10990" width="9" style="55" customWidth="1"/>
    <col min="10991" max="10991" width="22" style="55" customWidth="1"/>
    <col min="10992" max="10992" width="4.5" style="55" customWidth="1"/>
    <col min="10993" max="10993" width="13.33203125" style="55" customWidth="1"/>
    <col min="10994" max="10994" width="14.1640625" style="55" customWidth="1"/>
    <col min="10995" max="10995" width="9.33203125" style="55" customWidth="1"/>
    <col min="10996" max="10996" width="11.1640625" style="55" customWidth="1"/>
    <col min="10997" max="10997" width="9.1640625" style="55"/>
    <col min="10998" max="10998" width="10.33203125" style="55" customWidth="1"/>
    <col min="10999" max="10999" width="7.6640625" style="55" customWidth="1"/>
    <col min="11000" max="11000" width="12.6640625" style="55" customWidth="1"/>
    <col min="11001" max="11001" width="10.6640625" style="55" customWidth="1"/>
    <col min="11002" max="11002" width="12.83203125" style="55" customWidth="1"/>
    <col min="11003" max="11003" width="10.83203125" style="55" customWidth="1"/>
    <col min="11004" max="11004" width="12.5" style="55" customWidth="1"/>
    <col min="11005" max="11005" width="10.5" style="55" customWidth="1"/>
    <col min="11006" max="11006" width="13.1640625" style="55" customWidth="1"/>
    <col min="11007" max="11007" width="9.83203125" style="55" customWidth="1"/>
    <col min="11008" max="11008" width="13.6640625" style="55" customWidth="1"/>
    <col min="11009" max="11009" width="9.5" style="55" customWidth="1"/>
    <col min="11010" max="11010" width="12.5" style="55" customWidth="1"/>
    <col min="11011" max="11011" width="10" style="55" customWidth="1"/>
    <col min="11012" max="11012" width="13" style="55" customWidth="1"/>
    <col min="11013" max="11013" width="11" style="55" customWidth="1"/>
    <col min="11014" max="11014" width="13.83203125" style="55" customWidth="1"/>
    <col min="11015" max="11015" width="11.33203125" style="55" customWidth="1"/>
    <col min="11016" max="11016" width="13" style="55" customWidth="1"/>
    <col min="11017" max="11017" width="9" style="55" customWidth="1"/>
    <col min="11018" max="11018" width="3.83203125" style="55" customWidth="1"/>
    <col min="11019" max="11019" width="18.5" style="55" customWidth="1"/>
    <col min="11020" max="11020" width="10" style="55" customWidth="1"/>
    <col min="11021" max="11244" width="9.1640625" style="55"/>
    <col min="11245" max="11245" width="25.6640625" style="55" customWidth="1"/>
    <col min="11246" max="11246" width="9" style="55" customWidth="1"/>
    <col min="11247" max="11247" width="22" style="55" customWidth="1"/>
    <col min="11248" max="11248" width="4.5" style="55" customWidth="1"/>
    <col min="11249" max="11249" width="13.33203125" style="55" customWidth="1"/>
    <col min="11250" max="11250" width="14.1640625" style="55" customWidth="1"/>
    <col min="11251" max="11251" width="9.33203125" style="55" customWidth="1"/>
    <col min="11252" max="11252" width="11.1640625" style="55" customWidth="1"/>
    <col min="11253" max="11253" width="9.1640625" style="55"/>
    <col min="11254" max="11254" width="10.33203125" style="55" customWidth="1"/>
    <col min="11255" max="11255" width="7.6640625" style="55" customWidth="1"/>
    <col min="11256" max="11256" width="12.6640625" style="55" customWidth="1"/>
    <col min="11257" max="11257" width="10.6640625" style="55" customWidth="1"/>
    <col min="11258" max="11258" width="12.83203125" style="55" customWidth="1"/>
    <col min="11259" max="11259" width="10.83203125" style="55" customWidth="1"/>
    <col min="11260" max="11260" width="12.5" style="55" customWidth="1"/>
    <col min="11261" max="11261" width="10.5" style="55" customWidth="1"/>
    <col min="11262" max="11262" width="13.1640625" style="55" customWidth="1"/>
    <col min="11263" max="11263" width="9.83203125" style="55" customWidth="1"/>
    <col min="11264" max="11264" width="13.6640625" style="55" customWidth="1"/>
    <col min="11265" max="11265" width="9.5" style="55" customWidth="1"/>
    <col min="11266" max="11266" width="12.5" style="55" customWidth="1"/>
    <col min="11267" max="11267" width="10" style="55" customWidth="1"/>
    <col min="11268" max="11268" width="13" style="55" customWidth="1"/>
    <col min="11269" max="11269" width="11" style="55" customWidth="1"/>
    <col min="11270" max="11270" width="13.83203125" style="55" customWidth="1"/>
    <col min="11271" max="11271" width="11.33203125" style="55" customWidth="1"/>
    <col min="11272" max="11272" width="13" style="55" customWidth="1"/>
    <col min="11273" max="11273" width="9" style="55" customWidth="1"/>
    <col min="11274" max="11274" width="3.83203125" style="55" customWidth="1"/>
    <col min="11275" max="11275" width="18.5" style="55" customWidth="1"/>
    <col min="11276" max="11276" width="10" style="55" customWidth="1"/>
    <col min="11277" max="11500" width="9.1640625" style="55"/>
    <col min="11501" max="11501" width="25.6640625" style="55" customWidth="1"/>
    <col min="11502" max="11502" width="9" style="55" customWidth="1"/>
    <col min="11503" max="11503" width="22" style="55" customWidth="1"/>
    <col min="11504" max="11504" width="4.5" style="55" customWidth="1"/>
    <col min="11505" max="11505" width="13.33203125" style="55" customWidth="1"/>
    <col min="11506" max="11506" width="14.1640625" style="55" customWidth="1"/>
    <col min="11507" max="11507" width="9.33203125" style="55" customWidth="1"/>
    <col min="11508" max="11508" width="11.1640625" style="55" customWidth="1"/>
    <col min="11509" max="11509" width="9.1640625" style="55"/>
    <col min="11510" max="11510" width="10.33203125" style="55" customWidth="1"/>
    <col min="11511" max="11511" width="7.6640625" style="55" customWidth="1"/>
    <col min="11512" max="11512" width="12.6640625" style="55" customWidth="1"/>
    <col min="11513" max="11513" width="10.6640625" style="55" customWidth="1"/>
    <col min="11514" max="11514" width="12.83203125" style="55" customWidth="1"/>
    <col min="11515" max="11515" width="10.83203125" style="55" customWidth="1"/>
    <col min="11516" max="11516" width="12.5" style="55" customWidth="1"/>
    <col min="11517" max="11517" width="10.5" style="55" customWidth="1"/>
    <col min="11518" max="11518" width="13.1640625" style="55" customWidth="1"/>
    <col min="11519" max="11519" width="9.83203125" style="55" customWidth="1"/>
    <col min="11520" max="11520" width="13.6640625" style="55" customWidth="1"/>
    <col min="11521" max="11521" width="9.5" style="55" customWidth="1"/>
    <col min="11522" max="11522" width="12.5" style="55" customWidth="1"/>
    <col min="11523" max="11523" width="10" style="55" customWidth="1"/>
    <col min="11524" max="11524" width="13" style="55" customWidth="1"/>
    <col min="11525" max="11525" width="11" style="55" customWidth="1"/>
    <col min="11526" max="11526" width="13.83203125" style="55" customWidth="1"/>
    <col min="11527" max="11527" width="11.33203125" style="55" customWidth="1"/>
    <col min="11528" max="11528" width="13" style="55" customWidth="1"/>
    <col min="11529" max="11529" width="9" style="55" customWidth="1"/>
    <col min="11530" max="11530" width="3.83203125" style="55" customWidth="1"/>
    <col min="11531" max="11531" width="18.5" style="55" customWidth="1"/>
    <col min="11532" max="11532" width="10" style="55" customWidth="1"/>
    <col min="11533" max="11756" width="9.1640625" style="55"/>
    <col min="11757" max="11757" width="25.6640625" style="55" customWidth="1"/>
    <col min="11758" max="11758" width="9" style="55" customWidth="1"/>
    <col min="11759" max="11759" width="22" style="55" customWidth="1"/>
    <col min="11760" max="11760" width="4.5" style="55" customWidth="1"/>
    <col min="11761" max="11761" width="13.33203125" style="55" customWidth="1"/>
    <col min="11762" max="11762" width="14.1640625" style="55" customWidth="1"/>
    <col min="11763" max="11763" width="9.33203125" style="55" customWidth="1"/>
    <col min="11764" max="11764" width="11.1640625" style="55" customWidth="1"/>
    <col min="11765" max="11765" width="9.1640625" style="55"/>
    <col min="11766" max="11766" width="10.33203125" style="55" customWidth="1"/>
    <col min="11767" max="11767" width="7.6640625" style="55" customWidth="1"/>
    <col min="11768" max="11768" width="12.6640625" style="55" customWidth="1"/>
    <col min="11769" max="11769" width="10.6640625" style="55" customWidth="1"/>
    <col min="11770" max="11770" width="12.83203125" style="55" customWidth="1"/>
    <col min="11771" max="11771" width="10.83203125" style="55" customWidth="1"/>
    <col min="11772" max="11772" width="12.5" style="55" customWidth="1"/>
    <col min="11773" max="11773" width="10.5" style="55" customWidth="1"/>
    <col min="11774" max="11774" width="13.1640625" style="55" customWidth="1"/>
    <col min="11775" max="11775" width="9.83203125" style="55" customWidth="1"/>
    <col min="11776" max="11776" width="13.6640625" style="55" customWidth="1"/>
    <col min="11777" max="11777" width="9.5" style="55" customWidth="1"/>
    <col min="11778" max="11778" width="12.5" style="55" customWidth="1"/>
    <col min="11779" max="11779" width="10" style="55" customWidth="1"/>
    <col min="11780" max="11780" width="13" style="55" customWidth="1"/>
    <col min="11781" max="11781" width="11" style="55" customWidth="1"/>
    <col min="11782" max="11782" width="13.83203125" style="55" customWidth="1"/>
    <col min="11783" max="11783" width="11.33203125" style="55" customWidth="1"/>
    <col min="11784" max="11784" width="13" style="55" customWidth="1"/>
    <col min="11785" max="11785" width="9" style="55" customWidth="1"/>
    <col min="11786" max="11786" width="3.83203125" style="55" customWidth="1"/>
    <col min="11787" max="11787" width="18.5" style="55" customWidth="1"/>
    <col min="11788" max="11788" width="10" style="55" customWidth="1"/>
    <col min="11789" max="12012" width="9.1640625" style="55"/>
    <col min="12013" max="12013" width="25.6640625" style="55" customWidth="1"/>
    <col min="12014" max="12014" width="9" style="55" customWidth="1"/>
    <col min="12015" max="12015" width="22" style="55" customWidth="1"/>
    <col min="12016" max="12016" width="4.5" style="55" customWidth="1"/>
    <col min="12017" max="12017" width="13.33203125" style="55" customWidth="1"/>
    <col min="12018" max="12018" width="14.1640625" style="55" customWidth="1"/>
    <col min="12019" max="12019" width="9.33203125" style="55" customWidth="1"/>
    <col min="12020" max="12020" width="11.1640625" style="55" customWidth="1"/>
    <col min="12021" max="12021" width="9.1640625" style="55"/>
    <col min="12022" max="12022" width="10.33203125" style="55" customWidth="1"/>
    <col min="12023" max="12023" width="7.6640625" style="55" customWidth="1"/>
    <col min="12024" max="12024" width="12.6640625" style="55" customWidth="1"/>
    <col min="12025" max="12025" width="10.6640625" style="55" customWidth="1"/>
    <col min="12026" max="12026" width="12.83203125" style="55" customWidth="1"/>
    <col min="12027" max="12027" width="10.83203125" style="55" customWidth="1"/>
    <col min="12028" max="12028" width="12.5" style="55" customWidth="1"/>
    <col min="12029" max="12029" width="10.5" style="55" customWidth="1"/>
    <col min="12030" max="12030" width="13.1640625" style="55" customWidth="1"/>
    <col min="12031" max="12031" width="9.83203125" style="55" customWidth="1"/>
    <col min="12032" max="12032" width="13.6640625" style="55" customWidth="1"/>
    <col min="12033" max="12033" width="9.5" style="55" customWidth="1"/>
    <col min="12034" max="12034" width="12.5" style="55" customWidth="1"/>
    <col min="12035" max="12035" width="10" style="55" customWidth="1"/>
    <col min="12036" max="12036" width="13" style="55" customWidth="1"/>
    <col min="12037" max="12037" width="11" style="55" customWidth="1"/>
    <col min="12038" max="12038" width="13.83203125" style="55" customWidth="1"/>
    <col min="12039" max="12039" width="11.33203125" style="55" customWidth="1"/>
    <col min="12040" max="12040" width="13" style="55" customWidth="1"/>
    <col min="12041" max="12041" width="9" style="55" customWidth="1"/>
    <col min="12042" max="12042" width="3.83203125" style="55" customWidth="1"/>
    <col min="12043" max="12043" width="18.5" style="55" customWidth="1"/>
    <col min="12044" max="12044" width="10" style="55" customWidth="1"/>
    <col min="12045" max="12268" width="9.1640625" style="55"/>
    <col min="12269" max="12269" width="25.6640625" style="55" customWidth="1"/>
    <col min="12270" max="12270" width="9" style="55" customWidth="1"/>
    <col min="12271" max="12271" width="22" style="55" customWidth="1"/>
    <col min="12272" max="12272" width="4.5" style="55" customWidth="1"/>
    <col min="12273" max="12273" width="13.33203125" style="55" customWidth="1"/>
    <col min="12274" max="12274" width="14.1640625" style="55" customWidth="1"/>
    <col min="12275" max="12275" width="9.33203125" style="55" customWidth="1"/>
    <col min="12276" max="12276" width="11.1640625" style="55" customWidth="1"/>
    <col min="12277" max="12277" width="9.1640625" style="55"/>
    <col min="12278" max="12278" width="10.33203125" style="55" customWidth="1"/>
    <col min="12279" max="12279" width="7.6640625" style="55" customWidth="1"/>
    <col min="12280" max="12280" width="12.6640625" style="55" customWidth="1"/>
    <col min="12281" max="12281" width="10.6640625" style="55" customWidth="1"/>
    <col min="12282" max="12282" width="12.83203125" style="55" customWidth="1"/>
    <col min="12283" max="12283" width="10.83203125" style="55" customWidth="1"/>
    <col min="12284" max="12284" width="12.5" style="55" customWidth="1"/>
    <col min="12285" max="12285" width="10.5" style="55" customWidth="1"/>
    <col min="12286" max="12286" width="13.1640625" style="55" customWidth="1"/>
    <col min="12287" max="12287" width="9.83203125" style="55" customWidth="1"/>
    <col min="12288" max="12288" width="13.6640625" style="55" customWidth="1"/>
    <col min="12289" max="12289" width="9.5" style="55" customWidth="1"/>
    <col min="12290" max="12290" width="12.5" style="55" customWidth="1"/>
    <col min="12291" max="12291" width="10" style="55" customWidth="1"/>
    <col min="12292" max="12292" width="13" style="55" customWidth="1"/>
    <col min="12293" max="12293" width="11" style="55" customWidth="1"/>
    <col min="12294" max="12294" width="13.83203125" style="55" customWidth="1"/>
    <col min="12295" max="12295" width="11.33203125" style="55" customWidth="1"/>
    <col min="12296" max="12296" width="13" style="55" customWidth="1"/>
    <col min="12297" max="12297" width="9" style="55" customWidth="1"/>
    <col min="12298" max="12298" width="3.83203125" style="55" customWidth="1"/>
    <col min="12299" max="12299" width="18.5" style="55" customWidth="1"/>
    <col min="12300" max="12300" width="10" style="55" customWidth="1"/>
    <col min="12301" max="12524" width="9.1640625" style="55"/>
    <col min="12525" max="12525" width="25.6640625" style="55" customWidth="1"/>
    <col min="12526" max="12526" width="9" style="55" customWidth="1"/>
    <col min="12527" max="12527" width="22" style="55" customWidth="1"/>
    <col min="12528" max="12528" width="4.5" style="55" customWidth="1"/>
    <col min="12529" max="12529" width="13.33203125" style="55" customWidth="1"/>
    <col min="12530" max="12530" width="14.1640625" style="55" customWidth="1"/>
    <col min="12531" max="12531" width="9.33203125" style="55" customWidth="1"/>
    <col min="12532" max="12532" width="11.1640625" style="55" customWidth="1"/>
    <col min="12533" max="12533" width="9.1640625" style="55"/>
    <col min="12534" max="12534" width="10.33203125" style="55" customWidth="1"/>
    <col min="12535" max="12535" width="7.6640625" style="55" customWidth="1"/>
    <col min="12536" max="12536" width="12.6640625" style="55" customWidth="1"/>
    <col min="12537" max="12537" width="10.6640625" style="55" customWidth="1"/>
    <col min="12538" max="12538" width="12.83203125" style="55" customWidth="1"/>
    <col min="12539" max="12539" width="10.83203125" style="55" customWidth="1"/>
    <col min="12540" max="12540" width="12.5" style="55" customWidth="1"/>
    <col min="12541" max="12541" width="10.5" style="55" customWidth="1"/>
    <col min="12542" max="12542" width="13.1640625" style="55" customWidth="1"/>
    <col min="12543" max="12543" width="9.83203125" style="55" customWidth="1"/>
    <col min="12544" max="12544" width="13.6640625" style="55" customWidth="1"/>
    <col min="12545" max="12545" width="9.5" style="55" customWidth="1"/>
    <col min="12546" max="12546" width="12.5" style="55" customWidth="1"/>
    <col min="12547" max="12547" width="10" style="55" customWidth="1"/>
    <col min="12548" max="12548" width="13" style="55" customWidth="1"/>
    <col min="12549" max="12549" width="11" style="55" customWidth="1"/>
    <col min="12550" max="12550" width="13.83203125" style="55" customWidth="1"/>
    <col min="12551" max="12551" width="11.33203125" style="55" customWidth="1"/>
    <col min="12552" max="12552" width="13" style="55" customWidth="1"/>
    <col min="12553" max="12553" width="9" style="55" customWidth="1"/>
    <col min="12554" max="12554" width="3.83203125" style="55" customWidth="1"/>
    <col min="12555" max="12555" width="18.5" style="55" customWidth="1"/>
    <col min="12556" max="12556" width="10" style="55" customWidth="1"/>
    <col min="12557" max="12780" width="9.1640625" style="55"/>
    <col min="12781" max="12781" width="25.6640625" style="55" customWidth="1"/>
    <col min="12782" max="12782" width="9" style="55" customWidth="1"/>
    <col min="12783" max="12783" width="22" style="55" customWidth="1"/>
    <col min="12784" max="12784" width="4.5" style="55" customWidth="1"/>
    <col min="12785" max="12785" width="13.33203125" style="55" customWidth="1"/>
    <col min="12786" max="12786" width="14.1640625" style="55" customWidth="1"/>
    <col min="12787" max="12787" width="9.33203125" style="55" customWidth="1"/>
    <col min="12788" max="12788" width="11.1640625" style="55" customWidth="1"/>
    <col min="12789" max="12789" width="9.1640625" style="55"/>
    <col min="12790" max="12790" width="10.33203125" style="55" customWidth="1"/>
    <col min="12791" max="12791" width="7.6640625" style="55" customWidth="1"/>
    <col min="12792" max="12792" width="12.6640625" style="55" customWidth="1"/>
    <col min="12793" max="12793" width="10.6640625" style="55" customWidth="1"/>
    <col min="12794" max="12794" width="12.83203125" style="55" customWidth="1"/>
    <col min="12795" max="12795" width="10.83203125" style="55" customWidth="1"/>
    <col min="12796" max="12796" width="12.5" style="55" customWidth="1"/>
    <col min="12797" max="12797" width="10.5" style="55" customWidth="1"/>
    <col min="12798" max="12798" width="13.1640625" style="55" customWidth="1"/>
    <col min="12799" max="12799" width="9.83203125" style="55" customWidth="1"/>
    <col min="12800" max="12800" width="13.6640625" style="55" customWidth="1"/>
    <col min="12801" max="12801" width="9.5" style="55" customWidth="1"/>
    <col min="12802" max="12802" width="12.5" style="55" customWidth="1"/>
    <col min="12803" max="12803" width="10" style="55" customWidth="1"/>
    <col min="12804" max="12804" width="13" style="55" customWidth="1"/>
    <col min="12805" max="12805" width="11" style="55" customWidth="1"/>
    <col min="12806" max="12806" width="13.83203125" style="55" customWidth="1"/>
    <col min="12807" max="12807" width="11.33203125" style="55" customWidth="1"/>
    <col min="12808" max="12808" width="13" style="55" customWidth="1"/>
    <col min="12809" max="12809" width="9" style="55" customWidth="1"/>
    <col min="12810" max="12810" width="3.83203125" style="55" customWidth="1"/>
    <col min="12811" max="12811" width="18.5" style="55" customWidth="1"/>
    <col min="12812" max="12812" width="10" style="55" customWidth="1"/>
    <col min="12813" max="13036" width="9.1640625" style="55"/>
    <col min="13037" max="13037" width="25.6640625" style="55" customWidth="1"/>
    <col min="13038" max="13038" width="9" style="55" customWidth="1"/>
    <col min="13039" max="13039" width="22" style="55" customWidth="1"/>
    <col min="13040" max="13040" width="4.5" style="55" customWidth="1"/>
    <col min="13041" max="13041" width="13.33203125" style="55" customWidth="1"/>
    <col min="13042" max="13042" width="14.1640625" style="55" customWidth="1"/>
    <col min="13043" max="13043" width="9.33203125" style="55" customWidth="1"/>
    <col min="13044" max="13044" width="11.1640625" style="55" customWidth="1"/>
    <col min="13045" max="13045" width="9.1640625" style="55"/>
    <col min="13046" max="13046" width="10.33203125" style="55" customWidth="1"/>
    <col min="13047" max="13047" width="7.6640625" style="55" customWidth="1"/>
    <col min="13048" max="13048" width="12.6640625" style="55" customWidth="1"/>
    <col min="13049" max="13049" width="10.6640625" style="55" customWidth="1"/>
    <col min="13050" max="13050" width="12.83203125" style="55" customWidth="1"/>
    <col min="13051" max="13051" width="10.83203125" style="55" customWidth="1"/>
    <col min="13052" max="13052" width="12.5" style="55" customWidth="1"/>
    <col min="13053" max="13053" width="10.5" style="55" customWidth="1"/>
    <col min="13054" max="13054" width="13.1640625" style="55" customWidth="1"/>
    <col min="13055" max="13055" width="9.83203125" style="55" customWidth="1"/>
    <col min="13056" max="13056" width="13.6640625" style="55" customWidth="1"/>
    <col min="13057" max="13057" width="9.5" style="55" customWidth="1"/>
    <col min="13058" max="13058" width="12.5" style="55" customWidth="1"/>
    <col min="13059" max="13059" width="10" style="55" customWidth="1"/>
    <col min="13060" max="13060" width="13" style="55" customWidth="1"/>
    <col min="13061" max="13061" width="11" style="55" customWidth="1"/>
    <col min="13062" max="13062" width="13.83203125" style="55" customWidth="1"/>
    <col min="13063" max="13063" width="11.33203125" style="55" customWidth="1"/>
    <col min="13064" max="13064" width="13" style="55" customWidth="1"/>
    <col min="13065" max="13065" width="9" style="55" customWidth="1"/>
    <col min="13066" max="13066" width="3.83203125" style="55" customWidth="1"/>
    <col min="13067" max="13067" width="18.5" style="55" customWidth="1"/>
    <col min="13068" max="13068" width="10" style="55" customWidth="1"/>
    <col min="13069" max="13292" width="9.1640625" style="55"/>
    <col min="13293" max="13293" width="25.6640625" style="55" customWidth="1"/>
    <col min="13294" max="13294" width="9" style="55" customWidth="1"/>
    <col min="13295" max="13295" width="22" style="55" customWidth="1"/>
    <col min="13296" max="13296" width="4.5" style="55" customWidth="1"/>
    <col min="13297" max="13297" width="13.33203125" style="55" customWidth="1"/>
    <col min="13298" max="13298" width="14.1640625" style="55" customWidth="1"/>
    <col min="13299" max="13299" width="9.33203125" style="55" customWidth="1"/>
    <col min="13300" max="13300" width="11.1640625" style="55" customWidth="1"/>
    <col min="13301" max="13301" width="9.1640625" style="55"/>
    <col min="13302" max="13302" width="10.33203125" style="55" customWidth="1"/>
    <col min="13303" max="13303" width="7.6640625" style="55" customWidth="1"/>
    <col min="13304" max="13304" width="12.6640625" style="55" customWidth="1"/>
    <col min="13305" max="13305" width="10.6640625" style="55" customWidth="1"/>
    <col min="13306" max="13306" width="12.83203125" style="55" customWidth="1"/>
    <col min="13307" max="13307" width="10.83203125" style="55" customWidth="1"/>
    <col min="13308" max="13308" width="12.5" style="55" customWidth="1"/>
    <col min="13309" max="13309" width="10.5" style="55" customWidth="1"/>
    <col min="13310" max="13310" width="13.1640625" style="55" customWidth="1"/>
    <col min="13311" max="13311" width="9.83203125" style="55" customWidth="1"/>
    <col min="13312" max="13312" width="13.6640625" style="55" customWidth="1"/>
    <col min="13313" max="13313" width="9.5" style="55" customWidth="1"/>
    <col min="13314" max="13314" width="12.5" style="55" customWidth="1"/>
    <col min="13315" max="13315" width="10" style="55" customWidth="1"/>
    <col min="13316" max="13316" width="13" style="55" customWidth="1"/>
    <col min="13317" max="13317" width="11" style="55" customWidth="1"/>
    <col min="13318" max="13318" width="13.83203125" style="55" customWidth="1"/>
    <col min="13319" max="13319" width="11.33203125" style="55" customWidth="1"/>
    <col min="13320" max="13320" width="13" style="55" customWidth="1"/>
    <col min="13321" max="13321" width="9" style="55" customWidth="1"/>
    <col min="13322" max="13322" width="3.83203125" style="55" customWidth="1"/>
    <col min="13323" max="13323" width="18.5" style="55" customWidth="1"/>
    <col min="13324" max="13324" width="10" style="55" customWidth="1"/>
    <col min="13325" max="13548" width="9.1640625" style="55"/>
    <col min="13549" max="13549" width="25.6640625" style="55" customWidth="1"/>
    <col min="13550" max="13550" width="9" style="55" customWidth="1"/>
    <col min="13551" max="13551" width="22" style="55" customWidth="1"/>
    <col min="13552" max="13552" width="4.5" style="55" customWidth="1"/>
    <col min="13553" max="13553" width="13.33203125" style="55" customWidth="1"/>
    <col min="13554" max="13554" width="14.1640625" style="55" customWidth="1"/>
    <col min="13555" max="13555" width="9.33203125" style="55" customWidth="1"/>
    <col min="13556" max="13556" width="11.1640625" style="55" customWidth="1"/>
    <col min="13557" max="13557" width="9.1640625" style="55"/>
    <col min="13558" max="13558" width="10.33203125" style="55" customWidth="1"/>
    <col min="13559" max="13559" width="7.6640625" style="55" customWidth="1"/>
    <col min="13560" max="13560" width="12.6640625" style="55" customWidth="1"/>
    <col min="13561" max="13561" width="10.6640625" style="55" customWidth="1"/>
    <col min="13562" max="13562" width="12.83203125" style="55" customWidth="1"/>
    <col min="13563" max="13563" width="10.83203125" style="55" customWidth="1"/>
    <col min="13564" max="13564" width="12.5" style="55" customWidth="1"/>
    <col min="13565" max="13565" width="10.5" style="55" customWidth="1"/>
    <col min="13566" max="13566" width="13.1640625" style="55" customWidth="1"/>
    <col min="13567" max="13567" width="9.83203125" style="55" customWidth="1"/>
    <col min="13568" max="13568" width="13.6640625" style="55" customWidth="1"/>
    <col min="13569" max="13569" width="9.5" style="55" customWidth="1"/>
    <col min="13570" max="13570" width="12.5" style="55" customWidth="1"/>
    <col min="13571" max="13571" width="10" style="55" customWidth="1"/>
    <col min="13572" max="13572" width="13" style="55" customWidth="1"/>
    <col min="13573" max="13573" width="11" style="55" customWidth="1"/>
    <col min="13574" max="13574" width="13.83203125" style="55" customWidth="1"/>
    <col min="13575" max="13575" width="11.33203125" style="55" customWidth="1"/>
    <col min="13576" max="13576" width="13" style="55" customWidth="1"/>
    <col min="13577" max="13577" width="9" style="55" customWidth="1"/>
    <col min="13578" max="13578" width="3.83203125" style="55" customWidth="1"/>
    <col min="13579" max="13579" width="18.5" style="55" customWidth="1"/>
    <col min="13580" max="13580" width="10" style="55" customWidth="1"/>
    <col min="13581" max="13804" width="9.1640625" style="55"/>
    <col min="13805" max="13805" width="25.6640625" style="55" customWidth="1"/>
    <col min="13806" max="13806" width="9" style="55" customWidth="1"/>
    <col min="13807" max="13807" width="22" style="55" customWidth="1"/>
    <col min="13808" max="13808" width="4.5" style="55" customWidth="1"/>
    <col min="13809" max="13809" width="13.33203125" style="55" customWidth="1"/>
    <col min="13810" max="13810" width="14.1640625" style="55" customWidth="1"/>
    <col min="13811" max="13811" width="9.33203125" style="55" customWidth="1"/>
    <col min="13812" max="13812" width="11.1640625" style="55" customWidth="1"/>
    <col min="13813" max="13813" width="9.1640625" style="55"/>
    <col min="13814" max="13814" width="10.33203125" style="55" customWidth="1"/>
    <col min="13815" max="13815" width="7.6640625" style="55" customWidth="1"/>
    <col min="13816" max="13816" width="12.6640625" style="55" customWidth="1"/>
    <col min="13817" max="13817" width="10.6640625" style="55" customWidth="1"/>
    <col min="13818" max="13818" width="12.83203125" style="55" customWidth="1"/>
    <col min="13819" max="13819" width="10.83203125" style="55" customWidth="1"/>
    <col min="13820" max="13820" width="12.5" style="55" customWidth="1"/>
    <col min="13821" max="13821" width="10.5" style="55" customWidth="1"/>
    <col min="13822" max="13822" width="13.1640625" style="55" customWidth="1"/>
    <col min="13823" max="13823" width="9.83203125" style="55" customWidth="1"/>
    <col min="13824" max="13824" width="13.6640625" style="55" customWidth="1"/>
    <col min="13825" max="13825" width="9.5" style="55" customWidth="1"/>
    <col min="13826" max="13826" width="12.5" style="55" customWidth="1"/>
    <col min="13827" max="13827" width="10" style="55" customWidth="1"/>
    <col min="13828" max="13828" width="13" style="55" customWidth="1"/>
    <col min="13829" max="13829" width="11" style="55" customWidth="1"/>
    <col min="13830" max="13830" width="13.83203125" style="55" customWidth="1"/>
    <col min="13831" max="13831" width="11.33203125" style="55" customWidth="1"/>
    <col min="13832" max="13832" width="13" style="55" customWidth="1"/>
    <col min="13833" max="13833" width="9" style="55" customWidth="1"/>
    <col min="13834" max="13834" width="3.83203125" style="55" customWidth="1"/>
    <col min="13835" max="13835" width="18.5" style="55" customWidth="1"/>
    <col min="13836" max="13836" width="10" style="55" customWidth="1"/>
    <col min="13837" max="14060" width="9.1640625" style="55"/>
    <col min="14061" max="14061" width="25.6640625" style="55" customWidth="1"/>
    <col min="14062" max="14062" width="9" style="55" customWidth="1"/>
    <col min="14063" max="14063" width="22" style="55" customWidth="1"/>
    <col min="14064" max="14064" width="4.5" style="55" customWidth="1"/>
    <col min="14065" max="14065" width="13.33203125" style="55" customWidth="1"/>
    <col min="14066" max="14066" width="14.1640625" style="55" customWidth="1"/>
    <col min="14067" max="14067" width="9.33203125" style="55" customWidth="1"/>
    <col min="14068" max="14068" width="11.1640625" style="55" customWidth="1"/>
    <col min="14069" max="14069" width="9.1640625" style="55"/>
    <col min="14070" max="14070" width="10.33203125" style="55" customWidth="1"/>
    <col min="14071" max="14071" width="7.6640625" style="55" customWidth="1"/>
    <col min="14072" max="14072" width="12.6640625" style="55" customWidth="1"/>
    <col min="14073" max="14073" width="10.6640625" style="55" customWidth="1"/>
    <col min="14074" max="14074" width="12.83203125" style="55" customWidth="1"/>
    <col min="14075" max="14075" width="10.83203125" style="55" customWidth="1"/>
    <col min="14076" max="14076" width="12.5" style="55" customWidth="1"/>
    <col min="14077" max="14077" width="10.5" style="55" customWidth="1"/>
    <col min="14078" max="14078" width="13.1640625" style="55" customWidth="1"/>
    <col min="14079" max="14079" width="9.83203125" style="55" customWidth="1"/>
    <col min="14080" max="14080" width="13.6640625" style="55" customWidth="1"/>
    <col min="14081" max="14081" width="9.5" style="55" customWidth="1"/>
    <col min="14082" max="14082" width="12.5" style="55" customWidth="1"/>
    <col min="14083" max="14083" width="10" style="55" customWidth="1"/>
    <col min="14084" max="14084" width="13" style="55" customWidth="1"/>
    <col min="14085" max="14085" width="11" style="55" customWidth="1"/>
    <col min="14086" max="14086" width="13.83203125" style="55" customWidth="1"/>
    <col min="14087" max="14087" width="11.33203125" style="55" customWidth="1"/>
    <col min="14088" max="14088" width="13" style="55" customWidth="1"/>
    <col min="14089" max="14089" width="9" style="55" customWidth="1"/>
    <col min="14090" max="14090" width="3.83203125" style="55" customWidth="1"/>
    <col min="14091" max="14091" width="18.5" style="55" customWidth="1"/>
    <col min="14092" max="14092" width="10" style="55" customWidth="1"/>
    <col min="14093" max="14316" width="9.1640625" style="55"/>
    <col min="14317" max="14317" width="25.6640625" style="55" customWidth="1"/>
    <col min="14318" max="14318" width="9" style="55" customWidth="1"/>
    <col min="14319" max="14319" width="22" style="55" customWidth="1"/>
    <col min="14320" max="14320" width="4.5" style="55" customWidth="1"/>
    <col min="14321" max="14321" width="13.33203125" style="55" customWidth="1"/>
    <col min="14322" max="14322" width="14.1640625" style="55" customWidth="1"/>
    <col min="14323" max="14323" width="9.33203125" style="55" customWidth="1"/>
    <col min="14324" max="14324" width="11.1640625" style="55" customWidth="1"/>
    <col min="14325" max="14325" width="9.1640625" style="55"/>
    <col min="14326" max="14326" width="10.33203125" style="55" customWidth="1"/>
    <col min="14327" max="14327" width="7.6640625" style="55" customWidth="1"/>
    <col min="14328" max="14328" width="12.6640625" style="55" customWidth="1"/>
    <col min="14329" max="14329" width="10.6640625" style="55" customWidth="1"/>
    <col min="14330" max="14330" width="12.83203125" style="55" customWidth="1"/>
    <col min="14331" max="14331" width="10.83203125" style="55" customWidth="1"/>
    <col min="14332" max="14332" width="12.5" style="55" customWidth="1"/>
    <col min="14333" max="14333" width="10.5" style="55" customWidth="1"/>
    <col min="14334" max="14334" width="13.1640625" style="55" customWidth="1"/>
    <col min="14335" max="14335" width="9.83203125" style="55" customWidth="1"/>
    <col min="14336" max="14336" width="13.6640625" style="55" customWidth="1"/>
    <col min="14337" max="14337" width="9.5" style="55" customWidth="1"/>
    <col min="14338" max="14338" width="12.5" style="55" customWidth="1"/>
    <col min="14339" max="14339" width="10" style="55" customWidth="1"/>
    <col min="14340" max="14340" width="13" style="55" customWidth="1"/>
    <col min="14341" max="14341" width="11" style="55" customWidth="1"/>
    <col min="14342" max="14342" width="13.83203125" style="55" customWidth="1"/>
    <col min="14343" max="14343" width="11.33203125" style="55" customWidth="1"/>
    <col min="14344" max="14344" width="13" style="55" customWidth="1"/>
    <col min="14345" max="14345" width="9" style="55" customWidth="1"/>
    <col min="14346" max="14346" width="3.83203125" style="55" customWidth="1"/>
    <col min="14347" max="14347" width="18.5" style="55" customWidth="1"/>
    <col min="14348" max="14348" width="10" style="55" customWidth="1"/>
    <col min="14349" max="14572" width="9.1640625" style="55"/>
    <col min="14573" max="14573" width="25.6640625" style="55" customWidth="1"/>
    <col min="14574" max="14574" width="9" style="55" customWidth="1"/>
    <col min="14575" max="14575" width="22" style="55" customWidth="1"/>
    <col min="14576" max="14576" width="4.5" style="55" customWidth="1"/>
    <col min="14577" max="14577" width="13.33203125" style="55" customWidth="1"/>
    <col min="14578" max="14578" width="14.1640625" style="55" customWidth="1"/>
    <col min="14579" max="14579" width="9.33203125" style="55" customWidth="1"/>
    <col min="14580" max="14580" width="11.1640625" style="55" customWidth="1"/>
    <col min="14581" max="14581" width="9.1640625" style="55"/>
    <col min="14582" max="14582" width="10.33203125" style="55" customWidth="1"/>
    <col min="14583" max="14583" width="7.6640625" style="55" customWidth="1"/>
    <col min="14584" max="14584" width="12.6640625" style="55" customWidth="1"/>
    <col min="14585" max="14585" width="10.6640625" style="55" customWidth="1"/>
    <col min="14586" max="14586" width="12.83203125" style="55" customWidth="1"/>
    <col min="14587" max="14587" width="10.83203125" style="55" customWidth="1"/>
    <col min="14588" max="14588" width="12.5" style="55" customWidth="1"/>
    <col min="14589" max="14589" width="10.5" style="55" customWidth="1"/>
    <col min="14590" max="14590" width="13.1640625" style="55" customWidth="1"/>
    <col min="14591" max="14591" width="9.83203125" style="55" customWidth="1"/>
    <col min="14592" max="14592" width="13.6640625" style="55" customWidth="1"/>
    <col min="14593" max="14593" width="9.5" style="55" customWidth="1"/>
    <col min="14594" max="14594" width="12.5" style="55" customWidth="1"/>
    <col min="14595" max="14595" width="10" style="55" customWidth="1"/>
    <col min="14596" max="14596" width="13" style="55" customWidth="1"/>
    <col min="14597" max="14597" width="11" style="55" customWidth="1"/>
    <col min="14598" max="14598" width="13.83203125" style="55" customWidth="1"/>
    <col min="14599" max="14599" width="11.33203125" style="55" customWidth="1"/>
    <col min="14600" max="14600" width="13" style="55" customWidth="1"/>
    <col min="14601" max="14601" width="9" style="55" customWidth="1"/>
    <col min="14602" max="14602" width="3.83203125" style="55" customWidth="1"/>
    <col min="14603" max="14603" width="18.5" style="55" customWidth="1"/>
    <col min="14604" max="14604" width="10" style="55" customWidth="1"/>
    <col min="14605" max="14828" width="9.1640625" style="55"/>
    <col min="14829" max="14829" width="25.6640625" style="55" customWidth="1"/>
    <col min="14830" max="14830" width="9" style="55" customWidth="1"/>
    <col min="14831" max="14831" width="22" style="55" customWidth="1"/>
    <col min="14832" max="14832" width="4.5" style="55" customWidth="1"/>
    <col min="14833" max="14833" width="13.33203125" style="55" customWidth="1"/>
    <col min="14834" max="14834" width="14.1640625" style="55" customWidth="1"/>
    <col min="14835" max="14835" width="9.33203125" style="55" customWidth="1"/>
    <col min="14836" max="14836" width="11.1640625" style="55" customWidth="1"/>
    <col min="14837" max="14837" width="9.1640625" style="55"/>
    <col min="14838" max="14838" width="10.33203125" style="55" customWidth="1"/>
    <col min="14839" max="14839" width="7.6640625" style="55" customWidth="1"/>
    <col min="14840" max="14840" width="12.6640625" style="55" customWidth="1"/>
    <col min="14841" max="14841" width="10.6640625" style="55" customWidth="1"/>
    <col min="14842" max="14842" width="12.83203125" style="55" customWidth="1"/>
    <col min="14843" max="14843" width="10.83203125" style="55" customWidth="1"/>
    <col min="14844" max="14844" width="12.5" style="55" customWidth="1"/>
    <col min="14845" max="14845" width="10.5" style="55" customWidth="1"/>
    <col min="14846" max="14846" width="13.1640625" style="55" customWidth="1"/>
    <col min="14847" max="14847" width="9.83203125" style="55" customWidth="1"/>
    <col min="14848" max="14848" width="13.6640625" style="55" customWidth="1"/>
    <col min="14849" max="14849" width="9.5" style="55" customWidth="1"/>
    <col min="14850" max="14850" width="12.5" style="55" customWidth="1"/>
    <col min="14851" max="14851" width="10" style="55" customWidth="1"/>
    <col min="14852" max="14852" width="13" style="55" customWidth="1"/>
    <col min="14853" max="14853" width="11" style="55" customWidth="1"/>
    <col min="14854" max="14854" width="13.83203125" style="55" customWidth="1"/>
    <col min="14855" max="14855" width="11.33203125" style="55" customWidth="1"/>
    <col min="14856" max="14856" width="13" style="55" customWidth="1"/>
    <col min="14857" max="14857" width="9" style="55" customWidth="1"/>
    <col min="14858" max="14858" width="3.83203125" style="55" customWidth="1"/>
    <col min="14859" max="14859" width="18.5" style="55" customWidth="1"/>
    <col min="14860" max="14860" width="10" style="55" customWidth="1"/>
    <col min="14861" max="15084" width="9.1640625" style="55"/>
    <col min="15085" max="15085" width="25.6640625" style="55" customWidth="1"/>
    <col min="15086" max="15086" width="9" style="55" customWidth="1"/>
    <col min="15087" max="15087" width="22" style="55" customWidth="1"/>
    <col min="15088" max="15088" width="4.5" style="55" customWidth="1"/>
    <col min="15089" max="15089" width="13.33203125" style="55" customWidth="1"/>
    <col min="15090" max="15090" width="14.1640625" style="55" customWidth="1"/>
    <col min="15091" max="15091" width="9.33203125" style="55" customWidth="1"/>
    <col min="15092" max="15092" width="11.1640625" style="55" customWidth="1"/>
    <col min="15093" max="15093" width="9.1640625" style="55"/>
    <col min="15094" max="15094" width="10.33203125" style="55" customWidth="1"/>
    <col min="15095" max="15095" width="7.6640625" style="55" customWidth="1"/>
    <col min="15096" max="15096" width="12.6640625" style="55" customWidth="1"/>
    <col min="15097" max="15097" width="10.6640625" style="55" customWidth="1"/>
    <col min="15098" max="15098" width="12.83203125" style="55" customWidth="1"/>
    <col min="15099" max="15099" width="10.83203125" style="55" customWidth="1"/>
    <col min="15100" max="15100" width="12.5" style="55" customWidth="1"/>
    <col min="15101" max="15101" width="10.5" style="55" customWidth="1"/>
    <col min="15102" max="15102" width="13.1640625" style="55" customWidth="1"/>
    <col min="15103" max="15103" width="9.83203125" style="55" customWidth="1"/>
    <col min="15104" max="15104" width="13.6640625" style="55" customWidth="1"/>
    <col min="15105" max="15105" width="9.5" style="55" customWidth="1"/>
    <col min="15106" max="15106" width="12.5" style="55" customWidth="1"/>
    <col min="15107" max="15107" width="10" style="55" customWidth="1"/>
    <col min="15108" max="15108" width="13" style="55" customWidth="1"/>
    <col min="15109" max="15109" width="11" style="55" customWidth="1"/>
    <col min="15110" max="15110" width="13.83203125" style="55" customWidth="1"/>
    <col min="15111" max="15111" width="11.33203125" style="55" customWidth="1"/>
    <col min="15112" max="15112" width="13" style="55" customWidth="1"/>
    <col min="15113" max="15113" width="9" style="55" customWidth="1"/>
    <col min="15114" max="15114" width="3.83203125" style="55" customWidth="1"/>
    <col min="15115" max="15115" width="18.5" style="55" customWidth="1"/>
    <col min="15116" max="15116" width="10" style="55" customWidth="1"/>
    <col min="15117" max="15340" width="9.1640625" style="55"/>
    <col min="15341" max="15341" width="25.6640625" style="55" customWidth="1"/>
    <col min="15342" max="15342" width="9" style="55" customWidth="1"/>
    <col min="15343" max="15343" width="22" style="55" customWidth="1"/>
    <col min="15344" max="15344" width="4.5" style="55" customWidth="1"/>
    <col min="15345" max="15345" width="13.33203125" style="55" customWidth="1"/>
    <col min="15346" max="15346" width="14.1640625" style="55" customWidth="1"/>
    <col min="15347" max="15347" width="9.33203125" style="55" customWidth="1"/>
    <col min="15348" max="15348" width="11.1640625" style="55" customWidth="1"/>
    <col min="15349" max="15349" width="9.1640625" style="55"/>
    <col min="15350" max="15350" width="10.33203125" style="55" customWidth="1"/>
    <col min="15351" max="15351" width="7.6640625" style="55" customWidth="1"/>
    <col min="15352" max="15352" width="12.6640625" style="55" customWidth="1"/>
    <col min="15353" max="15353" width="10.6640625" style="55" customWidth="1"/>
    <col min="15354" max="15354" width="12.83203125" style="55" customWidth="1"/>
    <col min="15355" max="15355" width="10.83203125" style="55" customWidth="1"/>
    <col min="15356" max="15356" width="12.5" style="55" customWidth="1"/>
    <col min="15357" max="15357" width="10.5" style="55" customWidth="1"/>
    <col min="15358" max="15358" width="13.1640625" style="55" customWidth="1"/>
    <col min="15359" max="15359" width="9.83203125" style="55" customWidth="1"/>
    <col min="15360" max="15360" width="13.6640625" style="55" customWidth="1"/>
    <col min="15361" max="15361" width="9.5" style="55" customWidth="1"/>
    <col min="15362" max="15362" width="12.5" style="55" customWidth="1"/>
    <col min="15363" max="15363" width="10" style="55" customWidth="1"/>
    <col min="15364" max="15364" width="13" style="55" customWidth="1"/>
    <col min="15365" max="15365" width="11" style="55" customWidth="1"/>
    <col min="15366" max="15366" width="13.83203125" style="55" customWidth="1"/>
    <col min="15367" max="15367" width="11.33203125" style="55" customWidth="1"/>
    <col min="15368" max="15368" width="13" style="55" customWidth="1"/>
    <col min="15369" max="15369" width="9" style="55" customWidth="1"/>
    <col min="15370" max="15370" width="3.83203125" style="55" customWidth="1"/>
    <col min="15371" max="15371" width="18.5" style="55" customWidth="1"/>
    <col min="15372" max="15372" width="10" style="55" customWidth="1"/>
    <col min="15373" max="15596" width="9.1640625" style="55"/>
    <col min="15597" max="15597" width="25.6640625" style="55" customWidth="1"/>
    <col min="15598" max="15598" width="9" style="55" customWidth="1"/>
    <col min="15599" max="15599" width="22" style="55" customWidth="1"/>
    <col min="15600" max="15600" width="4.5" style="55" customWidth="1"/>
    <col min="15601" max="15601" width="13.33203125" style="55" customWidth="1"/>
    <col min="15602" max="15602" width="14.1640625" style="55" customWidth="1"/>
    <col min="15603" max="15603" width="9.33203125" style="55" customWidth="1"/>
    <col min="15604" max="15604" width="11.1640625" style="55" customWidth="1"/>
    <col min="15605" max="15605" width="9.1640625" style="55"/>
    <col min="15606" max="15606" width="10.33203125" style="55" customWidth="1"/>
    <col min="15607" max="15607" width="7.6640625" style="55" customWidth="1"/>
    <col min="15608" max="15608" width="12.6640625" style="55" customWidth="1"/>
    <col min="15609" max="15609" width="10.6640625" style="55" customWidth="1"/>
    <col min="15610" max="15610" width="12.83203125" style="55" customWidth="1"/>
    <col min="15611" max="15611" width="10.83203125" style="55" customWidth="1"/>
    <col min="15612" max="15612" width="12.5" style="55" customWidth="1"/>
    <col min="15613" max="15613" width="10.5" style="55" customWidth="1"/>
    <col min="15614" max="15614" width="13.1640625" style="55" customWidth="1"/>
    <col min="15615" max="15615" width="9.83203125" style="55" customWidth="1"/>
    <col min="15616" max="15616" width="13.6640625" style="55" customWidth="1"/>
    <col min="15617" max="15617" width="9.5" style="55" customWidth="1"/>
    <col min="15618" max="15618" width="12.5" style="55" customWidth="1"/>
    <col min="15619" max="15619" width="10" style="55" customWidth="1"/>
    <col min="15620" max="15620" width="13" style="55" customWidth="1"/>
    <col min="15621" max="15621" width="11" style="55" customWidth="1"/>
    <col min="15622" max="15622" width="13.83203125" style="55" customWidth="1"/>
    <col min="15623" max="15623" width="11.33203125" style="55" customWidth="1"/>
    <col min="15624" max="15624" width="13" style="55" customWidth="1"/>
    <col min="15625" max="15625" width="9" style="55" customWidth="1"/>
    <col min="15626" max="15626" width="3.83203125" style="55" customWidth="1"/>
    <col min="15627" max="15627" width="18.5" style="55" customWidth="1"/>
    <col min="15628" max="15628" width="10" style="55" customWidth="1"/>
    <col min="15629" max="15852" width="9.1640625" style="55"/>
    <col min="15853" max="15853" width="25.6640625" style="55" customWidth="1"/>
    <col min="15854" max="15854" width="9" style="55" customWidth="1"/>
    <col min="15855" max="15855" width="22" style="55" customWidth="1"/>
    <col min="15856" max="15856" width="4.5" style="55" customWidth="1"/>
    <col min="15857" max="15857" width="13.33203125" style="55" customWidth="1"/>
    <col min="15858" max="15858" width="14.1640625" style="55" customWidth="1"/>
    <col min="15859" max="15859" width="9.33203125" style="55" customWidth="1"/>
    <col min="15860" max="15860" width="11.1640625" style="55" customWidth="1"/>
    <col min="15861" max="15861" width="9.1640625" style="55"/>
    <col min="15862" max="15862" width="10.33203125" style="55" customWidth="1"/>
    <col min="15863" max="15863" width="7.6640625" style="55" customWidth="1"/>
    <col min="15864" max="15864" width="12.6640625" style="55" customWidth="1"/>
    <col min="15865" max="15865" width="10.6640625" style="55" customWidth="1"/>
    <col min="15866" max="15866" width="12.83203125" style="55" customWidth="1"/>
    <col min="15867" max="15867" width="10.83203125" style="55" customWidth="1"/>
    <col min="15868" max="15868" width="12.5" style="55" customWidth="1"/>
    <col min="15869" max="15869" width="10.5" style="55" customWidth="1"/>
    <col min="15870" max="15870" width="13.1640625" style="55" customWidth="1"/>
    <col min="15871" max="15871" width="9.83203125" style="55" customWidth="1"/>
    <col min="15872" max="15872" width="13.6640625" style="55" customWidth="1"/>
    <col min="15873" max="15873" width="9.5" style="55" customWidth="1"/>
    <col min="15874" max="15874" width="12.5" style="55" customWidth="1"/>
    <col min="15875" max="15875" width="10" style="55" customWidth="1"/>
    <col min="15876" max="15876" width="13" style="55" customWidth="1"/>
    <col min="15877" max="15877" width="11" style="55" customWidth="1"/>
    <col min="15878" max="15878" width="13.83203125" style="55" customWidth="1"/>
    <col min="15879" max="15879" width="11.33203125" style="55" customWidth="1"/>
    <col min="15880" max="15880" width="13" style="55" customWidth="1"/>
    <col min="15881" max="15881" width="9" style="55" customWidth="1"/>
    <col min="15882" max="15882" width="3.83203125" style="55" customWidth="1"/>
    <col min="15883" max="15883" width="18.5" style="55" customWidth="1"/>
    <col min="15884" max="15884" width="10" style="55" customWidth="1"/>
    <col min="15885" max="16108" width="9.1640625" style="55"/>
    <col min="16109" max="16109" width="25.6640625" style="55" customWidth="1"/>
    <col min="16110" max="16110" width="9" style="55" customWidth="1"/>
    <col min="16111" max="16111" width="22" style="55" customWidth="1"/>
    <col min="16112" max="16112" width="4.5" style="55" customWidth="1"/>
    <col min="16113" max="16113" width="13.33203125" style="55" customWidth="1"/>
    <col min="16114" max="16114" width="14.1640625" style="55" customWidth="1"/>
    <col min="16115" max="16115" width="9.33203125" style="55" customWidth="1"/>
    <col min="16116" max="16116" width="11.1640625" style="55" customWidth="1"/>
    <col min="16117" max="16117" width="9.1640625" style="55"/>
    <col min="16118" max="16118" width="10.33203125" style="55" customWidth="1"/>
    <col min="16119" max="16119" width="7.6640625" style="55" customWidth="1"/>
    <col min="16120" max="16120" width="12.6640625" style="55" customWidth="1"/>
    <col min="16121" max="16121" width="10.6640625" style="55" customWidth="1"/>
    <col min="16122" max="16122" width="12.83203125" style="55" customWidth="1"/>
    <col min="16123" max="16123" width="10.83203125" style="55" customWidth="1"/>
    <col min="16124" max="16124" width="12.5" style="55" customWidth="1"/>
    <col min="16125" max="16125" width="10.5" style="55" customWidth="1"/>
    <col min="16126" max="16126" width="13.1640625" style="55" customWidth="1"/>
    <col min="16127" max="16127" width="9.83203125" style="55" customWidth="1"/>
    <col min="16128" max="16128" width="13.6640625" style="55" customWidth="1"/>
    <col min="16129" max="16129" width="9.5" style="55" customWidth="1"/>
    <col min="16130" max="16130" width="12.5" style="55" customWidth="1"/>
    <col min="16131" max="16131" width="10" style="55" customWidth="1"/>
    <col min="16132" max="16132" width="13" style="55" customWidth="1"/>
    <col min="16133" max="16133" width="11" style="55" customWidth="1"/>
    <col min="16134" max="16134" width="13.83203125" style="55" customWidth="1"/>
    <col min="16135" max="16135" width="11.33203125" style="55" customWidth="1"/>
    <col min="16136" max="16136" width="13" style="55" customWidth="1"/>
    <col min="16137" max="16137" width="9" style="55" customWidth="1"/>
    <col min="16138" max="16138" width="3.83203125" style="55" customWidth="1"/>
    <col min="16139" max="16139" width="18.5" style="55" customWidth="1"/>
    <col min="16140" max="16140" width="10" style="55" customWidth="1"/>
    <col min="16141" max="16384" width="9.1640625" style="55"/>
  </cols>
  <sheetData>
    <row r="1" spans="2:35" s="40" customFormat="1" ht="15" customHeight="1" x14ac:dyDescent="0.15">
      <c r="B1" s="1165" t="s">
        <v>1470</v>
      </c>
      <c r="C1" s="1165"/>
      <c r="D1" s="156"/>
      <c r="E1" s="157"/>
      <c r="F1" s="158"/>
      <c r="G1" s="356"/>
      <c r="H1" s="356"/>
      <c r="I1" s="357"/>
      <c r="J1" s="356"/>
      <c r="K1" s="356"/>
      <c r="L1" s="981" t="s">
        <v>1478</v>
      </c>
      <c r="R1" s="41"/>
      <c r="S1" s="42"/>
      <c r="Z1" s="43"/>
      <c r="AC1" s="44"/>
    </row>
    <row r="2" spans="2:35" s="40" customFormat="1" ht="15" customHeight="1" x14ac:dyDescent="0.15">
      <c r="C2" s="301"/>
      <c r="D2" s="45"/>
      <c r="E2" s="46"/>
      <c r="F2" s="47"/>
      <c r="G2" s="358"/>
      <c r="H2" s="359"/>
      <c r="I2" s="51"/>
      <c r="J2" s="360"/>
      <c r="K2" s="360"/>
      <c r="L2" s="359"/>
      <c r="R2" s="48"/>
      <c r="W2" s="49"/>
      <c r="Y2" s="43"/>
      <c r="AB2" s="44"/>
    </row>
    <row r="3" spans="2:35" s="40" customFormat="1" ht="15" customHeight="1" x14ac:dyDescent="0.2">
      <c r="B3" s="50" t="s">
        <v>728</v>
      </c>
      <c r="C3" s="1080" t="str">
        <f>IF(CANOPY!C3="","",CANOPY!C3)</f>
        <v/>
      </c>
      <c r="D3" s="1080"/>
      <c r="E3" s="165"/>
      <c r="F3" s="177" t="s">
        <v>75</v>
      </c>
      <c r="G3" s="1080" t="str">
        <f>IF(CANOPY!G3="","",CANOPY!G3)</f>
        <v/>
      </c>
      <c r="H3" s="1080"/>
      <c r="I3" s="51"/>
      <c r="J3" s="360"/>
      <c r="K3" s="360"/>
      <c r="L3" s="359"/>
      <c r="R3" s="48"/>
      <c r="Y3" s="43"/>
      <c r="AB3" s="44"/>
    </row>
    <row r="4" spans="2:35" s="40" customFormat="1" ht="15" customHeight="1" x14ac:dyDescent="0.2">
      <c r="C4" s="471"/>
      <c r="D4" s="472"/>
      <c r="E4" s="178"/>
      <c r="F4" s="179"/>
      <c r="G4" s="471"/>
      <c r="H4" s="471"/>
      <c r="I4" s="51"/>
      <c r="J4" s="360"/>
      <c r="K4" s="360"/>
      <c r="L4" s="359"/>
      <c r="R4" s="48"/>
      <c r="Y4" s="43"/>
      <c r="AB4" s="44"/>
    </row>
    <row r="5" spans="2:35" s="40" customFormat="1" ht="15" customHeight="1" x14ac:dyDescent="0.2">
      <c r="B5" s="50" t="s">
        <v>72</v>
      </c>
      <c r="C5" s="1166" t="str">
        <f>IF(CANOPY!C5="","",CANOPY!C5)</f>
        <v/>
      </c>
      <c r="D5" s="1166"/>
      <c r="E5" s="173"/>
      <c r="F5" s="177" t="s">
        <v>74</v>
      </c>
      <c r="G5" s="1080" t="str">
        <f>IF(CANOPY!G5="","",CANOPY!G5)</f>
        <v/>
      </c>
      <c r="H5" s="1080"/>
      <c r="I5" s="51"/>
      <c r="J5" s="360"/>
      <c r="K5" s="360"/>
      <c r="L5" s="359"/>
      <c r="O5" s="52"/>
      <c r="P5" s="52"/>
      <c r="R5" s="48"/>
      <c r="S5" s="49"/>
      <c r="Y5" s="43"/>
      <c r="AB5" s="44"/>
    </row>
    <row r="6" spans="2:35" s="40" customFormat="1" ht="15" customHeight="1" x14ac:dyDescent="0.2">
      <c r="B6" s="50"/>
      <c r="C6" s="321"/>
      <c r="D6" s="471"/>
      <c r="E6" s="180"/>
      <c r="F6" s="179"/>
      <c r="G6" s="471"/>
      <c r="H6" s="471"/>
      <c r="I6" s="51"/>
      <c r="J6" s="360"/>
      <c r="K6" s="360"/>
      <c r="L6" s="359"/>
      <c r="O6" s="52"/>
      <c r="P6" s="52"/>
      <c r="R6" s="48"/>
      <c r="S6" s="49"/>
      <c r="Y6" s="53"/>
      <c r="AB6" s="44"/>
    </row>
    <row r="7" spans="2:35" s="40" customFormat="1" ht="15" customHeight="1" x14ac:dyDescent="0.2">
      <c r="B7" s="80" t="s">
        <v>729</v>
      </c>
      <c r="C7" s="1166" t="str">
        <f>IF(CANOPY!C7="","",CANOPY!C7)</f>
        <v/>
      </c>
      <c r="D7" s="1166"/>
      <c r="E7" s="180"/>
      <c r="F7" s="181" t="s">
        <v>73</v>
      </c>
      <c r="G7" s="1083" t="str">
        <f>IF(CANOPY!G7="","",CANOPY!G7)</f>
        <v/>
      </c>
      <c r="H7" s="1083"/>
      <c r="I7" s="51"/>
      <c r="J7" s="361"/>
      <c r="K7" s="361" t="s">
        <v>76</v>
      </c>
      <c r="L7" s="575" t="str">
        <f>IF(CANOPY!O7="","",CANOPY!O7)</f>
        <v/>
      </c>
      <c r="M7" s="1091" t="s">
        <v>1370</v>
      </c>
      <c r="N7" s="1091"/>
      <c r="O7" s="1091"/>
      <c r="R7" s="48"/>
      <c r="S7" s="49"/>
      <c r="Y7" s="53"/>
      <c r="AB7" s="44"/>
    </row>
    <row r="8" spans="2:35" s="40" customFormat="1" ht="15" customHeight="1" x14ac:dyDescent="0.15">
      <c r="C8" s="51"/>
      <c r="D8" s="51"/>
      <c r="E8" s="43"/>
      <c r="F8" s="47"/>
      <c r="G8" s="360"/>
      <c r="H8" s="359"/>
      <c r="I8" s="51"/>
      <c r="J8" s="360"/>
      <c r="K8" s="360"/>
      <c r="L8" s="359"/>
      <c r="R8" s="48"/>
      <c r="Y8" s="53"/>
      <c r="AB8" s="44"/>
    </row>
    <row r="9" spans="2:35" s="40" customFormat="1" ht="15" customHeight="1" x14ac:dyDescent="0.15">
      <c r="B9" s="38" t="s">
        <v>348</v>
      </c>
      <c r="C9" s="955">
        <v>0</v>
      </c>
      <c r="D9" s="377">
        <f>IF(C9=0,0,(SUBTOTAL(9,J15:J61)/(1-C9))-J9)</f>
        <v>0</v>
      </c>
      <c r="E9" s="155"/>
      <c r="F9" s="155"/>
      <c r="H9" s="25">
        <f>SUBTOTAL(9,H11:H61)</f>
        <v>1418</v>
      </c>
      <c r="I9" s="973">
        <f>IF(L9=0,"-",L9/J9)</f>
        <v>0.33460866955151458</v>
      </c>
      <c r="J9" s="25">
        <f>SUBTOTAL(9,J11:J61)</f>
        <v>2131.0767590618339</v>
      </c>
      <c r="K9" s="464">
        <f>SUBTOTAL(9,K11:K61)</f>
        <v>2131.0767590618339</v>
      </c>
      <c r="L9" s="25">
        <f>SUBTOTAL(9,L11:L61)</f>
        <v>713.07675906183385</v>
      </c>
      <c r="T9" s="48"/>
      <c r="W9" s="48"/>
      <c r="Z9" s="48"/>
      <c r="AI9" s="48"/>
    </row>
    <row r="10" spans="2:35" s="40" customFormat="1" ht="15" customHeight="1" x14ac:dyDescent="0.15">
      <c r="B10" s="317" t="s">
        <v>348</v>
      </c>
      <c r="C10" s="317" t="s">
        <v>537</v>
      </c>
      <c r="D10" s="317" t="s">
        <v>536</v>
      </c>
      <c r="E10" s="2"/>
      <c r="F10" s="2"/>
      <c r="G10" s="1" t="s">
        <v>204</v>
      </c>
      <c r="H10" s="2" t="s">
        <v>34</v>
      </c>
      <c r="I10" s="3" t="s">
        <v>141</v>
      </c>
      <c r="J10" s="4" t="s">
        <v>127</v>
      </c>
      <c r="K10" s="4" t="s">
        <v>205</v>
      </c>
      <c r="L10" s="5" t="s">
        <v>206</v>
      </c>
      <c r="Q10" s="586"/>
      <c r="T10" s="48"/>
      <c r="W10" s="48"/>
      <c r="Z10" s="48"/>
      <c r="AI10" s="48"/>
    </row>
    <row r="11" spans="2:35" ht="15" customHeight="1" x14ac:dyDescent="0.15">
      <c r="D11" s="55"/>
    </row>
    <row r="12" spans="2:35" ht="15" customHeight="1" x14ac:dyDescent="0.15">
      <c r="B12" s="56" t="s">
        <v>1418</v>
      </c>
      <c r="D12" s="55"/>
      <c r="E12" s="155"/>
      <c r="F12" s="155"/>
    </row>
    <row r="13" spans="2:35" ht="15" customHeight="1" x14ac:dyDescent="0.15">
      <c r="B13" s="491" t="s">
        <v>1417</v>
      </c>
      <c r="C13" s="38" t="s">
        <v>212</v>
      </c>
      <c r="D13" s="58"/>
      <c r="E13" s="390" t="s">
        <v>141</v>
      </c>
      <c r="F13" s="391">
        <v>0.4</v>
      </c>
      <c r="G13" s="61"/>
      <c r="H13" s="61">
        <f>SUBTOTAL(9,H15:H49)</f>
        <v>50</v>
      </c>
      <c r="I13" s="39">
        <f>IF(H13=0,"-",L13/J13)</f>
        <v>0.43999999999999995</v>
      </c>
      <c r="J13" s="61">
        <f>SUBTOTAL(9,J15:J49)</f>
        <v>89.285714285714278</v>
      </c>
      <c r="K13" s="465">
        <f>SUBTOTAL(9,K15:K49)</f>
        <v>89.285714285714278</v>
      </c>
      <c r="L13" s="61">
        <f>SUBTOTAL(9,L15:L49)</f>
        <v>39.285714285714278</v>
      </c>
    </row>
    <row r="14" spans="2:35" ht="15" customHeight="1" x14ac:dyDescent="0.15">
      <c r="B14" s="35" t="s">
        <v>0</v>
      </c>
      <c r="C14" s="54" t="s">
        <v>1</v>
      </c>
      <c r="D14" s="54" t="s">
        <v>2</v>
      </c>
      <c r="E14" s="246"/>
      <c r="F14" s="247"/>
      <c r="G14" s="248"/>
      <c r="H14" s="248"/>
      <c r="I14" s="249"/>
      <c r="J14" s="248"/>
      <c r="K14" s="248"/>
      <c r="L14" s="248"/>
    </row>
    <row r="15" spans="2:35" ht="15" customHeight="1" x14ac:dyDescent="0.15">
      <c r="B15" s="269" t="s">
        <v>88</v>
      </c>
      <c r="C15" s="84" t="s">
        <v>77</v>
      </c>
      <c r="D15" s="87"/>
      <c r="E15" s="82"/>
      <c r="F15" s="82"/>
      <c r="G15" s="380">
        <f>IF(C13="external",VLOOKUP(C15,'Base Costs'!$AP$6:$AR$16,2,FALSE),VLOOKUP(C15,'Base Costs'!$AP$6:$AR$16,3,FALSE))</f>
        <v>0</v>
      </c>
      <c r="H15" s="378">
        <f t="shared" ref="H15:H22" si="0">D15*G15</f>
        <v>0</v>
      </c>
      <c r="I15" s="463">
        <v>0.44</v>
      </c>
      <c r="J15" s="311">
        <f>H15/(1-I15)*(1+$C$9)</f>
        <v>0</v>
      </c>
      <c r="K15" s="378">
        <f>J15*VLOOKUP($B$9,'Base Costs'!$A$32:$B$37,2,FALSE)</f>
        <v>0</v>
      </c>
      <c r="L15" s="379">
        <f>K15-H15</f>
        <v>0</v>
      </c>
    </row>
    <row r="16" spans="2:35" ht="15" customHeight="1" x14ac:dyDescent="0.15">
      <c r="B16" s="269" t="s">
        <v>885</v>
      </c>
      <c r="C16" s="84" t="s">
        <v>77</v>
      </c>
      <c r="D16" s="87"/>
      <c r="E16" s="82"/>
      <c r="F16" s="82"/>
      <c r="G16" s="380"/>
      <c r="H16" s="378">
        <f t="shared" si="0"/>
        <v>0</v>
      </c>
      <c r="I16" s="463">
        <v>0.44</v>
      </c>
      <c r="J16" s="311">
        <f t="shared" ref="J16:J49" si="1">H16/(1-I16)*(1+$C$9)</f>
        <v>0</v>
      </c>
      <c r="K16" s="378">
        <f>J16*VLOOKUP($B$9,'Base Costs'!$A$32:$B$37,2,FALSE)</f>
        <v>0</v>
      </c>
      <c r="L16" s="379">
        <f t="shared" ref="L16:L37" si="2">K16-H16</f>
        <v>0</v>
      </c>
    </row>
    <row r="17" spans="2:15" ht="15" customHeight="1" x14ac:dyDescent="0.15">
      <c r="B17" s="269" t="s">
        <v>881</v>
      </c>
      <c r="C17" s="84" t="s">
        <v>77</v>
      </c>
      <c r="D17" s="87"/>
      <c r="E17" s="82"/>
      <c r="F17" s="82"/>
      <c r="G17" s="380"/>
      <c r="H17" s="378">
        <f t="shared" si="0"/>
        <v>0</v>
      </c>
      <c r="I17" s="463">
        <v>0.44</v>
      </c>
      <c r="J17" s="311">
        <f t="shared" si="1"/>
        <v>0</v>
      </c>
      <c r="K17" s="378">
        <f>J17*VLOOKUP($B$9,'Base Costs'!$A$32:$B$37,2,FALSE)</f>
        <v>0</v>
      </c>
      <c r="L17" s="379">
        <f t="shared" si="2"/>
        <v>0</v>
      </c>
    </row>
    <row r="18" spans="2:15" ht="15" customHeight="1" x14ac:dyDescent="0.15">
      <c r="B18" s="269" t="s">
        <v>882</v>
      </c>
      <c r="C18" s="84" t="s">
        <v>77</v>
      </c>
      <c r="D18" s="87"/>
      <c r="E18" s="82"/>
      <c r="F18" s="82"/>
      <c r="G18" s="380"/>
      <c r="H18" s="378">
        <f t="shared" si="0"/>
        <v>0</v>
      </c>
      <c r="I18" s="463">
        <v>0.44</v>
      </c>
      <c r="J18" s="311">
        <f t="shared" si="1"/>
        <v>0</v>
      </c>
      <c r="K18" s="378">
        <f>J18*VLOOKUP($B$9,'Base Costs'!$A$32:$B$37,2,FALSE)</f>
        <v>0</v>
      </c>
      <c r="L18" s="379">
        <f t="shared" si="2"/>
        <v>0</v>
      </c>
      <c r="O18" s="954"/>
    </row>
    <row r="19" spans="2:15" s="63" customFormat="1" ht="15" customHeight="1" x14ac:dyDescent="0.15">
      <c r="B19" s="269" t="s">
        <v>871</v>
      </c>
      <c r="C19" s="84" t="s">
        <v>77</v>
      </c>
      <c r="D19" s="87"/>
      <c r="E19" s="83"/>
      <c r="F19" s="83"/>
      <c r="G19" s="380"/>
      <c r="H19" s="378">
        <f t="shared" si="0"/>
        <v>0</v>
      </c>
      <c r="I19" s="463">
        <v>0.44</v>
      </c>
      <c r="J19" s="311">
        <f t="shared" si="1"/>
        <v>0</v>
      </c>
      <c r="K19" s="378">
        <f>J19*VLOOKUP($B$9,'Base Costs'!$A$32:$B$37,2,FALSE)</f>
        <v>0</v>
      </c>
      <c r="L19" s="379">
        <f t="shared" si="2"/>
        <v>0</v>
      </c>
    </row>
    <row r="20" spans="2:15" s="63" customFormat="1" ht="15" customHeight="1" x14ac:dyDescent="0.15">
      <c r="B20" s="269" t="s">
        <v>89</v>
      </c>
      <c r="C20" s="84" t="s">
        <v>77</v>
      </c>
      <c r="D20" s="87"/>
      <c r="E20" s="83"/>
      <c r="F20" s="83"/>
      <c r="G20" s="380"/>
      <c r="H20" s="378">
        <f t="shared" si="0"/>
        <v>0</v>
      </c>
      <c r="I20" s="463">
        <v>0.44</v>
      </c>
      <c r="J20" s="311">
        <f t="shared" si="1"/>
        <v>0</v>
      </c>
      <c r="K20" s="378">
        <f>J20*VLOOKUP($B$9,'Base Costs'!$A$32:$B$37,2,FALSE)</f>
        <v>0</v>
      </c>
      <c r="L20" s="379">
        <f t="shared" si="2"/>
        <v>0</v>
      </c>
    </row>
    <row r="21" spans="2:15" s="63" customFormat="1" ht="15" customHeight="1" x14ac:dyDescent="0.15">
      <c r="B21" s="269" t="s">
        <v>90</v>
      </c>
      <c r="C21" s="84" t="s">
        <v>77</v>
      </c>
      <c r="D21" s="87"/>
      <c r="E21" s="83"/>
      <c r="F21" s="83"/>
      <c r="G21" s="380">
        <f>IF(C13="external",VLOOKUP(C21,'Base Costs'!$AP$85:$AR$95,2,FALSE),VLOOKUP(C21,'Base Costs'!$AP$85:$AR$95,3,FALSE))</f>
        <v>0</v>
      </c>
      <c r="H21" s="378">
        <f t="shared" si="0"/>
        <v>0</v>
      </c>
      <c r="I21" s="463">
        <v>0.44</v>
      </c>
      <c r="J21" s="311">
        <f t="shared" si="1"/>
        <v>0</v>
      </c>
      <c r="K21" s="378">
        <f>J21*VLOOKUP($B$9,'Base Costs'!$A$32:$B$37,2,FALSE)</f>
        <v>0</v>
      </c>
      <c r="L21" s="379">
        <f t="shared" si="2"/>
        <v>0</v>
      </c>
    </row>
    <row r="22" spans="2:15" s="63" customFormat="1" ht="15" customHeight="1" x14ac:dyDescent="0.15">
      <c r="B22" s="269" t="s">
        <v>93</v>
      </c>
      <c r="C22" s="84" t="s">
        <v>77</v>
      </c>
      <c r="D22" s="87"/>
      <c r="E22" s="83"/>
      <c r="F22" s="83"/>
      <c r="G22" s="380">
        <f>IF(C13="external",VLOOKUP(C22,'Base Costs'!$AP$98:$AR$108,2,FALSE),VLOOKUP(C22,'Base Costs'!$AP$98:$AR$108,3,FALSE))</f>
        <v>0</v>
      </c>
      <c r="H22" s="378">
        <f t="shared" si="0"/>
        <v>0</v>
      </c>
      <c r="I22" s="463">
        <v>0.44</v>
      </c>
      <c r="J22" s="311">
        <f t="shared" si="1"/>
        <v>0</v>
      </c>
      <c r="K22" s="378">
        <f>J22*VLOOKUP($B$9,'Base Costs'!$A$32:$B$37,2,FALSE)</f>
        <v>0</v>
      </c>
      <c r="L22" s="379">
        <f t="shared" si="2"/>
        <v>0</v>
      </c>
    </row>
    <row r="23" spans="2:15" ht="15" customHeight="1" x14ac:dyDescent="0.15">
      <c r="B23" s="269"/>
      <c r="C23" s="88"/>
      <c r="D23" s="89"/>
      <c r="E23" s="88"/>
      <c r="F23" s="88"/>
      <c r="G23" s="380"/>
      <c r="H23" s="378"/>
      <c r="I23" s="463">
        <v>0.44</v>
      </c>
      <c r="J23" s="311">
        <f t="shared" ref="J23" si="3">H23/(1-I23)*(1+$C$9)</f>
        <v>0</v>
      </c>
      <c r="K23" s="378">
        <f>J23*VLOOKUP($B$9,'Base Costs'!$A$32:$B$37,2,FALSE)</f>
        <v>0</v>
      </c>
      <c r="L23" s="379">
        <f t="shared" ref="L23" si="4">K23-H23</f>
        <v>0</v>
      </c>
    </row>
    <row r="24" spans="2:15" ht="15" customHeight="1" x14ac:dyDescent="0.15">
      <c r="B24" s="984" t="s">
        <v>1368</v>
      </c>
      <c r="C24" s="1024"/>
      <c r="D24" s="1025">
        <v>1</v>
      </c>
      <c r="E24" s="1026"/>
      <c r="F24" s="1026"/>
      <c r="G24" s="1001">
        <v>50</v>
      </c>
      <c r="H24" s="1002">
        <f t="shared" ref="H24" si="5">D24*G24</f>
        <v>50</v>
      </c>
      <c r="I24" s="1027">
        <v>0.44</v>
      </c>
      <c r="J24" s="1004">
        <f t="shared" ref="J24" si="6">H24/(1-I24)*(1+$C$9)</f>
        <v>89.285714285714278</v>
      </c>
      <c r="K24" s="1002">
        <f>J24*VLOOKUP($B$9,'Base Costs'!$A$32:$B$37,2,FALSE)</f>
        <v>89.285714285714278</v>
      </c>
      <c r="L24" s="1005">
        <f t="shared" ref="L24" si="7">K24-H24</f>
        <v>39.285714285714278</v>
      </c>
      <c r="M24" s="1026" t="s">
        <v>1416</v>
      </c>
    </row>
    <row r="25" spans="2:15" s="63" customFormat="1" ht="15" customHeight="1" x14ac:dyDescent="0.15">
      <c r="B25" s="269" t="s">
        <v>33</v>
      </c>
      <c r="C25" s="90"/>
      <c r="D25" s="87"/>
      <c r="E25" s="73"/>
      <c r="F25" s="73"/>
      <c r="G25" s="380"/>
      <c r="H25" s="378">
        <f t="shared" ref="H25:H30" si="8">D25*G25</f>
        <v>0</v>
      </c>
      <c r="I25" s="463">
        <v>0.44</v>
      </c>
      <c r="J25" s="311">
        <f t="shared" si="1"/>
        <v>0</v>
      </c>
      <c r="K25" s="378">
        <f>J25*VLOOKUP($B$9,'Base Costs'!$A$32:$B$37,2,FALSE)</f>
        <v>0</v>
      </c>
      <c r="L25" s="379">
        <f t="shared" si="2"/>
        <v>0</v>
      </c>
    </row>
    <row r="26" spans="2:15" s="63" customFormat="1" ht="15" customHeight="1" x14ac:dyDescent="0.15">
      <c r="B26" s="269"/>
      <c r="C26" s="92"/>
      <c r="D26" s="93">
        <v>0</v>
      </c>
      <c r="E26" s="473"/>
      <c r="F26" s="73"/>
      <c r="G26" s="380"/>
      <c r="H26" s="378">
        <f t="shared" si="8"/>
        <v>0</v>
      </c>
      <c r="I26" s="463">
        <v>0.44</v>
      </c>
      <c r="J26" s="311">
        <f t="shared" si="1"/>
        <v>0</v>
      </c>
      <c r="K26" s="378">
        <f>J26*VLOOKUP($B$9,'Base Costs'!$A$32:$B$37,2,FALSE)</f>
        <v>0</v>
      </c>
      <c r="L26" s="379">
        <f t="shared" si="2"/>
        <v>0</v>
      </c>
    </row>
    <row r="27" spans="2:15" s="63" customFormat="1" ht="15" customHeight="1" x14ac:dyDescent="0.15">
      <c r="B27" s="269" t="s">
        <v>806</v>
      </c>
      <c r="C27" s="474" t="s">
        <v>805</v>
      </c>
      <c r="D27" s="475"/>
      <c r="E27" s="83" t="s">
        <v>807</v>
      </c>
      <c r="F27" s="83"/>
      <c r="G27" s="380">
        <v>103</v>
      </c>
      <c r="H27" s="378">
        <f t="shared" si="8"/>
        <v>0</v>
      </c>
      <c r="I27" s="463">
        <v>0.44</v>
      </c>
      <c r="J27" s="311">
        <f t="shared" si="1"/>
        <v>0</v>
      </c>
      <c r="K27" s="378">
        <f>J27*VLOOKUP($B$9,'Base Costs'!$A$32:$B$37,2,FALSE)</f>
        <v>0</v>
      </c>
      <c r="L27" s="379">
        <f t="shared" si="2"/>
        <v>0</v>
      </c>
    </row>
    <row r="28" spans="2:15" s="63" customFormat="1" ht="15" customHeight="1" x14ac:dyDescent="0.15">
      <c r="B28" s="269" t="s">
        <v>806</v>
      </c>
      <c r="C28" s="476" t="s">
        <v>804</v>
      </c>
      <c r="D28" s="475"/>
      <c r="E28" s="83" t="s">
        <v>807</v>
      </c>
      <c r="F28" s="83"/>
      <c r="G28" s="380">
        <v>135</v>
      </c>
      <c r="H28" s="378">
        <f t="shared" si="8"/>
        <v>0</v>
      </c>
      <c r="I28" s="463">
        <v>0.44</v>
      </c>
      <c r="J28" s="311">
        <f t="shared" si="1"/>
        <v>0</v>
      </c>
      <c r="K28" s="378">
        <f>J28*VLOOKUP($B$9,'Base Costs'!$A$32:$B$37,2,FALSE)</f>
        <v>0</v>
      </c>
      <c r="L28" s="379">
        <f t="shared" si="2"/>
        <v>0</v>
      </c>
    </row>
    <row r="29" spans="2:15" s="63" customFormat="1" ht="15" customHeight="1" x14ac:dyDescent="0.15">
      <c r="B29" s="269" t="s">
        <v>1309</v>
      </c>
      <c r="C29" s="925" t="s">
        <v>1308</v>
      </c>
      <c r="D29" s="1075"/>
      <c r="E29" s="483"/>
      <c r="F29" s="877"/>
      <c r="G29" s="798">
        <v>100</v>
      </c>
      <c r="H29" s="488">
        <f>D29*G29</f>
        <v>0</v>
      </c>
      <c r="I29" s="463">
        <v>0</v>
      </c>
      <c r="J29" s="311">
        <f>H29/(1-I29)*(1+$C$9)</f>
        <v>0</v>
      </c>
      <c r="K29" s="378">
        <f>J29*VLOOKUP($B$9,'Base Costs'!$A$32:$B$37,2,FALSE)</f>
        <v>0</v>
      </c>
      <c r="L29" s="379">
        <f>K29-H29</f>
        <v>0</v>
      </c>
    </row>
    <row r="30" spans="2:15" s="63" customFormat="1" ht="15" customHeight="1" x14ac:dyDescent="0.15">
      <c r="B30" s="269"/>
      <c r="C30" s="81"/>
      <c r="D30" s="91">
        <v>0</v>
      </c>
      <c r="E30" s="83"/>
      <c r="F30" s="83"/>
      <c r="G30" s="380"/>
      <c r="H30" s="378">
        <f t="shared" si="8"/>
        <v>0</v>
      </c>
      <c r="I30" s="463">
        <v>0.44</v>
      </c>
      <c r="J30" s="311">
        <f t="shared" si="1"/>
        <v>0</v>
      </c>
      <c r="K30" s="378">
        <f>J30*VLOOKUP($B$9,'Base Costs'!$A$32:$B$37,2,FALSE)</f>
        <v>0</v>
      </c>
      <c r="L30" s="379">
        <f t="shared" si="2"/>
        <v>0</v>
      </c>
    </row>
    <row r="31" spans="2:15" s="63" customFormat="1" ht="15" hidden="1" customHeight="1" x14ac:dyDescent="0.15">
      <c r="B31" s="308"/>
      <c r="C31" s="81"/>
      <c r="D31" s="91"/>
      <c r="E31" s="83"/>
      <c r="F31" s="83"/>
      <c r="G31" s="380"/>
      <c r="H31" s="378"/>
      <c r="I31" s="463">
        <v>0.44</v>
      </c>
      <c r="J31" s="311">
        <f t="shared" si="1"/>
        <v>0</v>
      </c>
      <c r="K31" s="378">
        <f>J31*VLOOKUP($B$9,'Base Costs'!$A$32:$B$37,2,FALSE)</f>
        <v>0</v>
      </c>
      <c r="L31" s="379">
        <f t="shared" si="2"/>
        <v>0</v>
      </c>
    </row>
    <row r="32" spans="2:15" s="63" customFormat="1" ht="15" hidden="1" customHeight="1" x14ac:dyDescent="0.15">
      <c r="B32" s="308" t="s">
        <v>599</v>
      </c>
      <c r="C32" s="459"/>
      <c r="D32" s="87">
        <v>1</v>
      </c>
      <c r="E32" s="83"/>
      <c r="F32" s="83"/>
      <c r="G32" s="380">
        <f>C32</f>
        <v>0</v>
      </c>
      <c r="H32" s="378">
        <f>D32*G32</f>
        <v>0</v>
      </c>
      <c r="I32" s="463">
        <v>0.44</v>
      </c>
      <c r="J32" s="311">
        <f t="shared" si="1"/>
        <v>0</v>
      </c>
      <c r="K32" s="378">
        <f>J32*VLOOKUP($B$9,'Base Costs'!$A$32:$B$37,2,FALSE)</f>
        <v>0</v>
      </c>
      <c r="L32" s="379">
        <f t="shared" si="2"/>
        <v>0</v>
      </c>
    </row>
    <row r="33" spans="2:21" s="63" customFormat="1" ht="15" hidden="1" customHeight="1" x14ac:dyDescent="0.15">
      <c r="B33" s="308" t="s">
        <v>600</v>
      </c>
      <c r="C33" s="459"/>
      <c r="D33" s="477">
        <v>1</v>
      </c>
      <c r="E33" s="83"/>
      <c r="F33" s="83"/>
      <c r="G33" s="380">
        <f>C33</f>
        <v>0</v>
      </c>
      <c r="H33" s="378">
        <f>D33*G33</f>
        <v>0</v>
      </c>
      <c r="I33" s="463">
        <v>0.44</v>
      </c>
      <c r="J33" s="311">
        <f t="shared" si="1"/>
        <v>0</v>
      </c>
      <c r="K33" s="378">
        <f>J33*VLOOKUP($B$9,'Base Costs'!$A$32:$B$37,2,FALSE)</f>
        <v>0</v>
      </c>
      <c r="L33" s="379">
        <f t="shared" si="2"/>
        <v>0</v>
      </c>
    </row>
    <row r="34" spans="2:21" s="63" customFormat="1" ht="15" customHeight="1" x14ac:dyDescent="0.15">
      <c r="B34" s="476" t="s">
        <v>623</v>
      </c>
      <c r="C34" s="478" t="s">
        <v>624</v>
      </c>
      <c r="D34" s="478"/>
      <c r="E34" s="476"/>
      <c r="F34" s="478"/>
      <c r="G34" s="380">
        <f>SUM(H15:H22)*0.25</f>
        <v>0</v>
      </c>
      <c r="H34" s="378">
        <f>D34*G34</f>
        <v>0</v>
      </c>
      <c r="I34" s="463">
        <v>0.44</v>
      </c>
      <c r="J34" s="311">
        <f t="shared" si="1"/>
        <v>0</v>
      </c>
      <c r="K34" s="378">
        <f>J34*VLOOKUP($B$9,'Base Costs'!$A$32:$B$37,2,FALSE)</f>
        <v>0</v>
      </c>
      <c r="L34" s="379">
        <f t="shared" si="2"/>
        <v>0</v>
      </c>
    </row>
    <row r="35" spans="2:21" s="63" customFormat="1" ht="15" customHeight="1" x14ac:dyDescent="0.15">
      <c r="B35" s="476" t="s">
        <v>625</v>
      </c>
      <c r="C35" s="478"/>
      <c r="D35" s="478"/>
      <c r="E35" s="476"/>
      <c r="F35" s="478"/>
      <c r="G35" s="380">
        <v>107</v>
      </c>
      <c r="H35" s="378">
        <f>D35*G35</f>
        <v>0</v>
      </c>
      <c r="I35" s="463">
        <v>0.44</v>
      </c>
      <c r="J35" s="311">
        <f t="shared" si="1"/>
        <v>0</v>
      </c>
      <c r="K35" s="378">
        <f>J35*VLOOKUP($B$9,'Base Costs'!$A$32:$B$37,2,FALSE)</f>
        <v>0</v>
      </c>
      <c r="L35" s="379">
        <f t="shared" si="2"/>
        <v>0</v>
      </c>
    </row>
    <row r="36" spans="2:21" s="63" customFormat="1" ht="15" customHeight="1" x14ac:dyDescent="0.15">
      <c r="B36" s="476" t="s">
        <v>627</v>
      </c>
      <c r="C36" s="478"/>
      <c r="D36" s="478"/>
      <c r="E36" s="476"/>
      <c r="F36" s="478"/>
      <c r="G36" s="380">
        <v>30</v>
      </c>
      <c r="H36" s="378">
        <f>D36*G36</f>
        <v>0</v>
      </c>
      <c r="I36" s="463">
        <v>0.44</v>
      </c>
      <c r="J36" s="311">
        <f t="shared" si="1"/>
        <v>0</v>
      </c>
      <c r="K36" s="378">
        <f>J36*VLOOKUP($B$9,'Base Costs'!$A$32:$B$37,2,FALSE)</f>
        <v>0</v>
      </c>
      <c r="L36" s="379">
        <f t="shared" si="2"/>
        <v>0</v>
      </c>
    </row>
    <row r="37" spans="2:21" s="63" customFormat="1" ht="15" customHeight="1" x14ac:dyDescent="0.15">
      <c r="B37" s="476" t="s">
        <v>164</v>
      </c>
      <c r="C37" s="476"/>
      <c r="D37" s="478"/>
      <c r="E37" s="476"/>
      <c r="F37" s="478" t="s">
        <v>626</v>
      </c>
      <c r="G37" s="380">
        <v>0</v>
      </c>
      <c r="H37" s="378">
        <f t="shared" ref="H37" si="9">D37*G37</f>
        <v>0</v>
      </c>
      <c r="I37" s="463">
        <v>0.44</v>
      </c>
      <c r="J37" s="311">
        <f t="shared" si="1"/>
        <v>0</v>
      </c>
      <c r="K37" s="378">
        <f>J37*VLOOKUP($B$9,'Base Costs'!$A$32:$B$37,2,FALSE)</f>
        <v>0</v>
      </c>
      <c r="L37" s="379">
        <f t="shared" si="2"/>
        <v>0</v>
      </c>
    </row>
    <row r="38" spans="2:21" s="63" customFormat="1" ht="15" customHeight="1" x14ac:dyDescent="0.15">
      <c r="B38" s="1076"/>
      <c r="C38" s="1076"/>
      <c r="D38" s="1077"/>
      <c r="E38" s="1076"/>
      <c r="F38" s="1077"/>
      <c r="G38" s="1078"/>
      <c r="H38" s="489"/>
      <c r="I38" s="1079"/>
      <c r="J38" s="147"/>
      <c r="K38" s="489"/>
      <c r="L38" s="485"/>
    </row>
    <row r="39" spans="2:21" s="63" customFormat="1" ht="15" customHeight="1" x14ac:dyDescent="0.15">
      <c r="B39" s="85" t="s">
        <v>1479</v>
      </c>
      <c r="C39" s="85"/>
      <c r="D39" s="86"/>
      <c r="E39" s="85"/>
      <c r="F39" s="85"/>
      <c r="G39" s="61"/>
      <c r="H39" s="154">
        <f>SUBTOTAL(9,H40:H49)</f>
        <v>0</v>
      </c>
      <c r="I39" s="39" t="str">
        <f>IF(H39=0,"-",L39/J39)</f>
        <v>-</v>
      </c>
      <c r="J39" s="61">
        <f>SUBTOTAL(9,J40:J49)</f>
        <v>0</v>
      </c>
      <c r="K39" s="465">
        <f>SUBTOTAL(9,K40:K49)</f>
        <v>0</v>
      </c>
      <c r="L39" s="61">
        <f>SUBTOTAL(9,L40:L49)</f>
        <v>0</v>
      </c>
    </row>
    <row r="40" spans="2:21" s="63" customFormat="1" ht="15" customHeight="1" x14ac:dyDescent="0.15">
      <c r="B40" s="476" t="s">
        <v>1005</v>
      </c>
      <c r="C40" s="476"/>
      <c r="D40" s="480"/>
      <c r="E40" s="481"/>
      <c r="F40" s="476"/>
      <c r="G40" s="380">
        <v>1995</v>
      </c>
      <c r="H40" s="378">
        <f t="shared" ref="H40:H49" si="10">D40*G40</f>
        <v>0</v>
      </c>
      <c r="I40" s="463">
        <v>0.35</v>
      </c>
      <c r="J40" s="311">
        <f t="shared" si="1"/>
        <v>0</v>
      </c>
      <c r="K40" s="378">
        <f>J40*VLOOKUP($B$9,'Base Costs'!$A$32:$B$37,2,FALSE)</f>
        <v>0</v>
      </c>
      <c r="L40" s="379">
        <f t="shared" ref="L40:L49" si="11">K40-H40</f>
        <v>0</v>
      </c>
      <c r="O40" s="873"/>
      <c r="S40" s="873"/>
    </row>
    <row r="41" spans="2:21" s="63" customFormat="1" ht="15" customHeight="1" x14ac:dyDescent="0.15">
      <c r="B41" s="476" t="s">
        <v>1006</v>
      </c>
      <c r="C41" s="476"/>
      <c r="D41" s="482"/>
      <c r="E41" s="483"/>
      <c r="F41" s="476"/>
      <c r="G41" s="380">
        <v>1810</v>
      </c>
      <c r="H41" s="378">
        <f t="shared" si="10"/>
        <v>0</v>
      </c>
      <c r="I41" s="463">
        <v>0.35</v>
      </c>
      <c r="J41" s="311">
        <f t="shared" si="1"/>
        <v>0</v>
      </c>
      <c r="K41" s="378">
        <f>J41*VLOOKUP($B$9,'Base Costs'!$A$32:$B$37,2,FALSE)</f>
        <v>0</v>
      </c>
      <c r="L41" s="379">
        <f t="shared" si="11"/>
        <v>0</v>
      </c>
      <c r="O41" s="873"/>
      <c r="S41" s="873"/>
    </row>
    <row r="42" spans="2:21" s="63" customFormat="1" ht="15" customHeight="1" x14ac:dyDescent="0.15">
      <c r="B42" s="476"/>
      <c r="C42" s="476"/>
      <c r="D42" s="484"/>
      <c r="E42" s="483"/>
      <c r="F42" s="876"/>
      <c r="G42" s="798"/>
      <c r="H42" s="378">
        <f t="shared" si="10"/>
        <v>0</v>
      </c>
      <c r="I42" s="463">
        <v>0</v>
      </c>
      <c r="J42" s="311">
        <f t="shared" si="1"/>
        <v>0</v>
      </c>
      <c r="K42" s="378">
        <f>J42*VLOOKUP($B$9,'Base Costs'!$A$32:$B$37,2,FALSE)</f>
        <v>0</v>
      </c>
      <c r="L42" s="379">
        <f t="shared" si="11"/>
        <v>0</v>
      </c>
      <c r="O42" s="873"/>
      <c r="S42" s="873"/>
      <c r="U42" s="485"/>
    </row>
    <row r="43" spans="2:21" s="63" customFormat="1" ht="15" customHeight="1" x14ac:dyDescent="0.15">
      <c r="B43" s="476"/>
      <c r="C43" s="476"/>
      <c r="D43" s="484"/>
      <c r="E43" s="483"/>
      <c r="F43" s="892"/>
      <c r="G43" s="798"/>
      <c r="H43" s="378">
        <f t="shared" si="10"/>
        <v>0</v>
      </c>
      <c r="I43" s="463">
        <v>0</v>
      </c>
      <c r="J43" s="311">
        <f t="shared" si="1"/>
        <v>0</v>
      </c>
      <c r="K43" s="378">
        <f>J43*VLOOKUP($B$9,'Base Costs'!$A$32:$B$37,2,FALSE)</f>
        <v>0</v>
      </c>
      <c r="L43" s="379">
        <f t="shared" si="11"/>
        <v>0</v>
      </c>
      <c r="O43" s="873"/>
      <c r="S43" s="873"/>
    </row>
    <row r="44" spans="2:21" s="63" customFormat="1" ht="15" customHeight="1" x14ac:dyDescent="0.15">
      <c r="B44" s="476"/>
      <c r="C44" s="476"/>
      <c r="D44" s="484"/>
      <c r="E44" s="483"/>
      <c r="F44" s="876"/>
      <c r="G44" s="878"/>
      <c r="H44" s="378">
        <f t="shared" si="10"/>
        <v>0</v>
      </c>
      <c r="I44" s="463">
        <v>0</v>
      </c>
      <c r="J44" s="311">
        <f t="shared" si="1"/>
        <v>0</v>
      </c>
      <c r="K44" s="378">
        <f>J44*VLOOKUP($B$9,'Base Costs'!$A$32:$B$37,2,FALSE)</f>
        <v>0</v>
      </c>
      <c r="L44" s="379">
        <f t="shared" si="11"/>
        <v>0</v>
      </c>
      <c r="O44" s="873"/>
      <c r="S44" s="873"/>
    </row>
    <row r="45" spans="2:21" s="63" customFormat="1" ht="15" customHeight="1" x14ac:dyDescent="0.15">
      <c r="B45" s="476"/>
      <c r="C45" s="476"/>
      <c r="D45" s="486"/>
      <c r="E45" s="487"/>
      <c r="F45" s="875"/>
      <c r="G45" s="798"/>
      <c r="H45" s="378">
        <f t="shared" si="10"/>
        <v>0</v>
      </c>
      <c r="I45" s="463">
        <v>0.35</v>
      </c>
      <c r="J45" s="311">
        <f t="shared" si="1"/>
        <v>0</v>
      </c>
      <c r="K45" s="378">
        <f>J45*VLOOKUP($B$9,'Base Costs'!$A$32:$B$37,2,FALSE)</f>
        <v>0</v>
      </c>
      <c r="L45" s="379">
        <f t="shared" si="11"/>
        <v>0</v>
      </c>
      <c r="O45" s="873"/>
      <c r="S45" s="873"/>
    </row>
    <row r="46" spans="2:21" s="63" customFormat="1" ht="15" customHeight="1" x14ac:dyDescent="0.15">
      <c r="B46" s="476" t="s">
        <v>851</v>
      </c>
      <c r="C46" s="476"/>
      <c r="D46" s="482"/>
      <c r="E46" s="483"/>
      <c r="F46" s="876"/>
      <c r="G46" s="798">
        <v>110</v>
      </c>
      <c r="H46" s="488">
        <f t="shared" si="10"/>
        <v>0</v>
      </c>
      <c r="I46" s="463">
        <v>0.35</v>
      </c>
      <c r="J46" s="311">
        <f t="shared" si="1"/>
        <v>0</v>
      </c>
      <c r="K46" s="378">
        <f>J46*VLOOKUP($B$9,'Base Costs'!$A$32:$B$37,2,FALSE)</f>
        <v>0</v>
      </c>
      <c r="L46" s="379">
        <f t="shared" si="11"/>
        <v>0</v>
      </c>
      <c r="O46" s="873"/>
      <c r="S46" s="873"/>
    </row>
    <row r="47" spans="2:21" s="63" customFormat="1" ht="15" customHeight="1" x14ac:dyDescent="0.15">
      <c r="B47" s="799" t="s">
        <v>1004</v>
      </c>
      <c r="C47" s="476"/>
      <c r="D47" s="482"/>
      <c r="E47" s="483"/>
      <c r="F47" s="875"/>
      <c r="G47" s="798">
        <v>0</v>
      </c>
      <c r="H47" s="488">
        <f t="shared" si="10"/>
        <v>0</v>
      </c>
      <c r="I47" s="463">
        <v>0.35</v>
      </c>
      <c r="J47" s="311">
        <f t="shared" si="1"/>
        <v>0</v>
      </c>
      <c r="K47" s="378">
        <f>J47*VLOOKUP($B$9,'Base Costs'!$A$32:$B$37,2,FALSE)</f>
        <v>0</v>
      </c>
      <c r="L47" s="379">
        <f t="shared" si="11"/>
        <v>0</v>
      </c>
    </row>
    <row r="48" spans="2:21" s="63" customFormat="1" ht="15" customHeight="1" x14ac:dyDescent="0.2">
      <c r="B48" s="289" t="s">
        <v>1001</v>
      </c>
      <c r="C48" s="874" t="s">
        <v>1002</v>
      </c>
      <c r="D48" s="482"/>
      <c r="E48" s="483"/>
      <c r="F48" s="877"/>
      <c r="G48" s="798">
        <v>57</v>
      </c>
      <c r="H48" s="488">
        <f t="shared" si="10"/>
        <v>0</v>
      </c>
      <c r="I48" s="463">
        <v>0.35</v>
      </c>
      <c r="J48" s="311">
        <f t="shared" si="1"/>
        <v>0</v>
      </c>
      <c r="K48" s="378">
        <f>J48*VLOOKUP($B$9,'Base Costs'!$A$32:$B$37,2,FALSE)</f>
        <v>0</v>
      </c>
      <c r="L48" s="379">
        <f t="shared" si="11"/>
        <v>0</v>
      </c>
    </row>
    <row r="49" spans="2:13" s="63" customFormat="1" ht="15" customHeight="1" x14ac:dyDescent="0.2">
      <c r="B49" s="289" t="s">
        <v>1000</v>
      </c>
      <c r="C49" s="874" t="s">
        <v>1003</v>
      </c>
      <c r="D49" s="482"/>
      <c r="E49" s="483"/>
      <c r="F49" s="877"/>
      <c r="G49" s="798">
        <v>65</v>
      </c>
      <c r="H49" s="488">
        <f t="shared" si="10"/>
        <v>0</v>
      </c>
      <c r="I49" s="463">
        <v>0.35</v>
      </c>
      <c r="J49" s="311">
        <f t="shared" si="1"/>
        <v>0</v>
      </c>
      <c r="K49" s="378">
        <f>J49*VLOOKUP($B$9,'Base Costs'!$A$32:$B$37,2,FALSE)</f>
        <v>0</v>
      </c>
      <c r="L49" s="379">
        <f t="shared" si="11"/>
        <v>0</v>
      </c>
    </row>
    <row r="50" spans="2:13" s="63" customFormat="1" ht="15" customHeight="1" x14ac:dyDescent="0.15">
      <c r="B50" s="68"/>
      <c r="C50" s="68"/>
      <c r="D50" s="69"/>
      <c r="E50" s="70"/>
      <c r="F50" s="71"/>
      <c r="G50" s="367"/>
      <c r="H50" s="489"/>
      <c r="I50" s="56"/>
      <c r="J50" s="362"/>
      <c r="K50" s="489"/>
      <c r="L50" s="362"/>
    </row>
    <row r="51" spans="2:13" s="63" customFormat="1" ht="15" customHeight="1" x14ac:dyDescent="0.15">
      <c r="B51" s="85" t="s">
        <v>48</v>
      </c>
      <c r="C51" s="85"/>
      <c r="D51" s="86"/>
      <c r="E51" s="85"/>
      <c r="F51" s="85"/>
      <c r="G51" s="61"/>
      <c r="H51" s="154">
        <f>SUBTOTAL(9,H52:H61)</f>
        <v>1368</v>
      </c>
      <c r="I51" s="15">
        <f>IF(H51=0,"-",L51/J51)</f>
        <v>0.33</v>
      </c>
      <c r="J51" s="154">
        <f>SUBTOTAL(9,J52:J62)</f>
        <v>2041.7910447761196</v>
      </c>
      <c r="K51" s="466">
        <f>SUBTOTAL(9,K52:K61)</f>
        <v>2041.7910447761196</v>
      </c>
      <c r="L51" s="154">
        <f>SUBTOTAL(9,L52:L61)</f>
        <v>673.79104477611952</v>
      </c>
    </row>
    <row r="52" spans="2:13" s="63" customFormat="1" ht="15" customHeight="1" x14ac:dyDescent="0.15">
      <c r="B52" s="308" t="s">
        <v>10</v>
      </c>
      <c r="C52" s="95"/>
      <c r="D52" s="289" t="s">
        <v>45</v>
      </c>
      <c r="E52" s="615" t="s">
        <v>757</v>
      </c>
      <c r="F52" s="616"/>
      <c r="G52" s="380">
        <v>900</v>
      </c>
      <c r="H52" s="378">
        <f t="shared" ref="H52:H61" si="12">C52*G52</f>
        <v>0</v>
      </c>
      <c r="I52" s="490">
        <v>0.33</v>
      </c>
      <c r="J52" s="311">
        <f t="shared" ref="J52:J61" si="13">H52/(1-I52)*(1+$C$9)</f>
        <v>0</v>
      </c>
      <c r="K52" s="378">
        <f>J52*VLOOKUP($B$9,'Base Costs'!$A$32:$B$37,2,FALSE)</f>
        <v>0</v>
      </c>
      <c r="L52" s="379">
        <f t="shared" ref="L52:L59" si="14">J52-H52</f>
        <v>0</v>
      </c>
    </row>
    <row r="53" spans="2:13" s="63" customFormat="1" ht="15" customHeight="1" x14ac:dyDescent="0.15">
      <c r="B53" s="308" t="s">
        <v>36</v>
      </c>
      <c r="C53" s="95"/>
      <c r="D53" s="289" t="s">
        <v>184</v>
      </c>
      <c r="E53" s="73"/>
      <c r="F53" s="73"/>
      <c r="G53" s="380">
        <v>250</v>
      </c>
      <c r="H53" s="378">
        <f t="shared" si="12"/>
        <v>0</v>
      </c>
      <c r="I53" s="490">
        <v>0.33</v>
      </c>
      <c r="J53" s="311">
        <f t="shared" si="13"/>
        <v>0</v>
      </c>
      <c r="K53" s="378">
        <f>J53*VLOOKUP($B$9,'Base Costs'!$A$32:$B$37,2,FALSE)</f>
        <v>0</v>
      </c>
      <c r="L53" s="379">
        <f t="shared" si="14"/>
        <v>0</v>
      </c>
    </row>
    <row r="54" spans="2:13" s="63" customFormat="1" ht="15" customHeight="1" x14ac:dyDescent="0.15">
      <c r="B54" s="1019" t="s">
        <v>1363</v>
      </c>
      <c r="C54" s="1020">
        <v>1</v>
      </c>
      <c r="D54" s="1021" t="s">
        <v>358</v>
      </c>
      <c r="E54" s="1022"/>
      <c r="F54" s="1022"/>
      <c r="G54" s="1001">
        <v>160</v>
      </c>
      <c r="H54" s="1002">
        <f t="shared" si="12"/>
        <v>160</v>
      </c>
      <c r="I54" s="1023">
        <v>0.33</v>
      </c>
      <c r="J54" s="1004">
        <f t="shared" si="13"/>
        <v>238.80597014925377</v>
      </c>
      <c r="K54" s="1002">
        <f>J54*VLOOKUP($B$9,'Base Costs'!$A$32:$B$37,2,FALSE)</f>
        <v>238.80597014925377</v>
      </c>
      <c r="L54" s="1005">
        <f t="shared" si="14"/>
        <v>78.805970149253767</v>
      </c>
      <c r="M54" s="1022" t="s">
        <v>1416</v>
      </c>
    </row>
    <row r="55" spans="2:13" s="63" customFormat="1" ht="15" customHeight="1" x14ac:dyDescent="0.15">
      <c r="B55" s="28" t="s">
        <v>135</v>
      </c>
      <c r="C55" s="95"/>
      <c r="D55" s="28" t="s">
        <v>357</v>
      </c>
      <c r="E55" s="73"/>
      <c r="F55" s="73"/>
      <c r="G55" s="380">
        <v>610</v>
      </c>
      <c r="H55" s="378">
        <f t="shared" si="12"/>
        <v>0</v>
      </c>
      <c r="I55" s="490">
        <v>0.4</v>
      </c>
      <c r="J55" s="311">
        <f t="shared" si="13"/>
        <v>0</v>
      </c>
      <c r="K55" s="378">
        <f>J55*VLOOKUP($B$9,'Base Costs'!$A$32:$B$37,2,FALSE)</f>
        <v>0</v>
      </c>
      <c r="L55" s="379">
        <f t="shared" si="14"/>
        <v>0</v>
      </c>
    </row>
    <row r="56" spans="2:13" s="63" customFormat="1" ht="15" customHeight="1" x14ac:dyDescent="0.15">
      <c r="B56" s="28" t="s">
        <v>136</v>
      </c>
      <c r="C56" s="95"/>
      <c r="D56" s="28" t="s">
        <v>357</v>
      </c>
      <c r="E56" s="73"/>
      <c r="F56" s="73"/>
      <c r="G56" s="380">
        <v>1220</v>
      </c>
      <c r="H56" s="378">
        <f t="shared" si="12"/>
        <v>0</v>
      </c>
      <c r="I56" s="490">
        <v>0.4</v>
      </c>
      <c r="J56" s="311">
        <f t="shared" si="13"/>
        <v>0</v>
      </c>
      <c r="K56" s="378">
        <f>J56*VLOOKUP($B$9,'Base Costs'!$A$32:$B$37,2,FALSE)</f>
        <v>0</v>
      </c>
      <c r="L56" s="379">
        <f t="shared" si="14"/>
        <v>0</v>
      </c>
    </row>
    <row r="57" spans="2:13" s="63" customFormat="1" ht="15" customHeight="1" x14ac:dyDescent="0.15">
      <c r="B57" s="28" t="s">
        <v>134</v>
      </c>
      <c r="C57" s="95"/>
      <c r="D57" s="28" t="s">
        <v>139</v>
      </c>
      <c r="E57" s="73"/>
      <c r="F57" s="73"/>
      <c r="G57" s="380">
        <v>220</v>
      </c>
      <c r="H57" s="378">
        <f t="shared" si="12"/>
        <v>0</v>
      </c>
      <c r="I57" s="490">
        <v>0.33</v>
      </c>
      <c r="J57" s="311">
        <f t="shared" si="13"/>
        <v>0</v>
      </c>
      <c r="K57" s="378">
        <f>J57*VLOOKUP($B$9,'Base Costs'!$A$32:$B$37,2,FALSE)</f>
        <v>0</v>
      </c>
      <c r="L57" s="379">
        <f t="shared" si="14"/>
        <v>0</v>
      </c>
    </row>
    <row r="58" spans="2:13" s="63" customFormat="1" ht="15" customHeight="1" x14ac:dyDescent="0.15">
      <c r="B58" s="308" t="s">
        <v>539</v>
      </c>
      <c r="C58" s="95"/>
      <c r="D58" s="28" t="s">
        <v>139</v>
      </c>
      <c r="E58" s="73"/>
      <c r="F58" s="73"/>
      <c r="G58" s="380">
        <v>150</v>
      </c>
      <c r="H58" s="378">
        <f t="shared" si="12"/>
        <v>0</v>
      </c>
      <c r="I58" s="490">
        <v>0.33</v>
      </c>
      <c r="J58" s="311">
        <f t="shared" si="13"/>
        <v>0</v>
      </c>
      <c r="K58" s="378">
        <f>J58*VLOOKUP($B$9,'Base Costs'!$A$32:$B$37,2,FALSE)</f>
        <v>0</v>
      </c>
      <c r="L58" s="379">
        <f t="shared" si="14"/>
        <v>0</v>
      </c>
    </row>
    <row r="59" spans="2:13" s="63" customFormat="1" ht="15" customHeight="1" x14ac:dyDescent="0.15">
      <c r="B59" s="308" t="s">
        <v>13</v>
      </c>
      <c r="C59" s="95"/>
      <c r="D59" s="28" t="s">
        <v>540</v>
      </c>
      <c r="E59" s="73"/>
      <c r="F59" s="73"/>
      <c r="G59" s="380">
        <v>50</v>
      </c>
      <c r="H59" s="378">
        <f t="shared" si="12"/>
        <v>0</v>
      </c>
      <c r="I59" s="490">
        <v>0.33</v>
      </c>
      <c r="J59" s="311">
        <f t="shared" si="13"/>
        <v>0</v>
      </c>
      <c r="K59" s="378">
        <f>J59*VLOOKUP($B$9,'Base Costs'!$A$32:$B$37,2,FALSE)</f>
        <v>0</v>
      </c>
      <c r="L59" s="379">
        <f t="shared" si="14"/>
        <v>0</v>
      </c>
    </row>
    <row r="60" spans="2:13" s="63" customFormat="1" ht="15" customHeight="1" x14ac:dyDescent="0.15">
      <c r="B60" s="308" t="s">
        <v>1310</v>
      </c>
      <c r="C60" s="95">
        <v>2</v>
      </c>
      <c r="D60" s="1113" t="s">
        <v>1450</v>
      </c>
      <c r="E60" s="1174"/>
      <c r="F60" s="1174"/>
      <c r="G60" s="380">
        <v>604</v>
      </c>
      <c r="H60" s="378">
        <f t="shared" si="12"/>
        <v>1208</v>
      </c>
      <c r="I60" s="490">
        <v>0.33</v>
      </c>
      <c r="J60" s="311">
        <f t="shared" si="13"/>
        <v>1802.9850746268658</v>
      </c>
      <c r="K60" s="378">
        <f>J60*VLOOKUP($B$9,'Base Costs'!$A$32:$B$37,2,FALSE)</f>
        <v>1802.9850746268658</v>
      </c>
      <c r="L60" s="379">
        <f>J60-H60</f>
        <v>594.98507462686575</v>
      </c>
      <c r="M60" s="1022" t="s">
        <v>1416</v>
      </c>
    </row>
    <row r="61" spans="2:13" s="63" customFormat="1" ht="15" customHeight="1" x14ac:dyDescent="0.15">
      <c r="B61" s="28" t="s">
        <v>1007</v>
      </c>
      <c r="C61" s="250"/>
      <c r="D61" s="1107" t="s">
        <v>1008</v>
      </c>
      <c r="E61" s="1175"/>
      <c r="F61" s="1175"/>
      <c r="G61" s="380">
        <v>603</v>
      </c>
      <c r="H61" s="378">
        <f t="shared" si="12"/>
        <v>0</v>
      </c>
      <c r="I61" s="490">
        <v>0.33</v>
      </c>
      <c r="J61" s="311">
        <f t="shared" si="13"/>
        <v>0</v>
      </c>
      <c r="K61" s="378">
        <f>J61*VLOOKUP($B$9,'Base Costs'!$A$32:$B$37,2,FALSE)</f>
        <v>0</v>
      </c>
      <c r="L61" s="379">
        <f>J61-H61</f>
        <v>0</v>
      </c>
    </row>
    <row r="62" spans="2:13" s="63" customFormat="1" ht="15" customHeight="1" x14ac:dyDescent="0.15">
      <c r="B62" s="55"/>
      <c r="C62" s="74"/>
      <c r="D62" s="56"/>
      <c r="E62" s="55"/>
      <c r="F62" s="55"/>
      <c r="G62" s="362"/>
      <c r="H62" s="362"/>
      <c r="I62" s="56"/>
      <c r="J62" s="362"/>
      <c r="K62" s="362"/>
      <c r="L62" s="362"/>
    </row>
    <row r="63" spans="2:13" s="63" customFormat="1" ht="15" customHeight="1" x14ac:dyDescent="0.2">
      <c r="B63" s="197" t="s">
        <v>121</v>
      </c>
      <c r="C63" s="198"/>
      <c r="D63" s="199"/>
      <c r="E63" s="199"/>
      <c r="F63" s="198"/>
      <c r="G63" s="200"/>
      <c r="H63" s="198"/>
      <c r="I63" s="198"/>
      <c r="J63" s="198"/>
      <c r="K63" s="198"/>
      <c r="L63" s="198"/>
    </row>
    <row r="64" spans="2:13" s="63" customFormat="1" ht="15" customHeight="1" x14ac:dyDescent="0.2">
      <c r="B64" s="202"/>
      <c r="C64" s="203"/>
      <c r="D64" s="202"/>
      <c r="E64" s="204"/>
      <c r="F64" s="202"/>
      <c r="G64" s="209"/>
      <c r="H64" s="203"/>
      <c r="I64" s="203"/>
      <c r="J64" s="203"/>
      <c r="K64" s="205"/>
      <c r="L64" s="205"/>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9"/>
      <c r="L66" s="209"/>
    </row>
    <row r="67" spans="2:12" s="63" customFormat="1" ht="15" customHeight="1" x14ac:dyDescent="0.2">
      <c r="B67" s="202"/>
      <c r="C67" s="203"/>
      <c r="D67" s="202"/>
      <c r="E67" s="204"/>
      <c r="F67" s="202"/>
      <c r="G67" s="209"/>
      <c r="H67" s="206"/>
      <c r="I67" s="203"/>
      <c r="J67" s="203"/>
      <c r="K67" s="209"/>
      <c r="L67" s="209"/>
    </row>
    <row r="68" spans="2:12" s="63" customFormat="1" ht="15" customHeight="1" x14ac:dyDescent="0.2">
      <c r="B68" s="202"/>
      <c r="C68" s="203"/>
      <c r="D68" s="202"/>
      <c r="E68" s="202"/>
      <c r="F68" s="202"/>
      <c r="G68" s="207"/>
      <c r="H68" s="209"/>
      <c r="I68" s="203"/>
      <c r="J68" s="203"/>
      <c r="K68" s="205"/>
      <c r="L68" s="205"/>
    </row>
    <row r="69" spans="2:12" s="63" customFormat="1" ht="15" customHeight="1" x14ac:dyDescent="0.2">
      <c r="B69" s="202"/>
      <c r="C69" s="202"/>
      <c r="D69" s="202"/>
      <c r="E69" s="202"/>
      <c r="F69" s="202"/>
      <c r="G69" s="207"/>
      <c r="H69" s="209"/>
      <c r="I69" s="203"/>
      <c r="J69" s="203"/>
      <c r="K69" s="205"/>
      <c r="L69" s="205"/>
    </row>
    <row r="70" spans="2:12" s="63" customFormat="1" ht="15" customHeight="1" x14ac:dyDescent="0.15">
      <c r="B70" s="55"/>
      <c r="C70" s="74"/>
      <c r="D70" s="56"/>
      <c r="E70" s="55"/>
      <c r="F70" s="55"/>
      <c r="G70" s="362"/>
      <c r="H70" s="362"/>
      <c r="I70" s="56"/>
      <c r="J70" s="362"/>
      <c r="K70" s="362"/>
      <c r="L70" s="362"/>
    </row>
    <row r="71" spans="2:12" s="63" customFormat="1" ht="15" customHeight="1" x14ac:dyDescent="0.15">
      <c r="B71" s="75"/>
      <c r="C71" s="75"/>
      <c r="D71" s="56"/>
      <c r="E71" s="55"/>
      <c r="F71" s="55"/>
      <c r="G71" s="362"/>
      <c r="H71" s="362"/>
      <c r="I71" s="56"/>
      <c r="J71" s="362"/>
      <c r="K71" s="362"/>
      <c r="L71" s="362"/>
    </row>
    <row r="72" spans="2:12" s="63" customFormat="1" ht="15" customHeight="1" x14ac:dyDescent="0.15">
      <c r="B72" s="55"/>
      <c r="C72" s="5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sheetData>
  <protectedRanges>
    <protectedRange sqref="B14:D14 E10:F10" name="Estimating_3_1" securityDescriptor="O:WDG:WDD:(A;;CC;;;S-1-5-21-1993962763-879983540-839522115-1221)"/>
    <protectedRange sqref="F8:H8 P7" name="Estimating_4_1" securityDescriptor="O:WDG:WDD:(A;;CC;;;S-1-5-21-1993962763-879983540-839522115-1221)"/>
    <protectedRange sqref="B2:B6 J7:K7 C2:E2 C8:E8" name="Estimating_1_3_1" securityDescriptor="O:WDG:WDD:(A;;CC;;;S-1-5-21-1993962763-879983540-839522115-1221)"/>
    <protectedRange sqref="L52:L61 U42 L40:L49 L15:L38" name="Estimating_5_1" securityDescriptor="O:WDG:WDD:(A;;CC;;;S-1-5-21-1993962763-879983540-839522115-1221)"/>
    <protectedRange sqref="C61" name="Estimating_2_1" securityDescriptor="O:WDG:WDD:(A;;CC;;;S-1-5-21-1993962763-879983540-839522115-1221)"/>
    <protectedRange sqref="D54:D59" name="Estimating_6_1" securityDescriptor="O:WDG:WDD:(A;;CC;;;S-1-5-21-1993962763-879983540-839522115-1221)"/>
    <protectedRange sqref="L10" name="Estimating_7_1" securityDescriptor="O:WDG:WDD:(A;;CC;;;S-1-5-21-1993962763-879983540-839522115-1221)"/>
    <protectedRange sqref="F64:F69 B64:B68 K69:L69" name="Full_1" securityDescriptor="O:WDG:WDD:(A;;CC;;;S-1-5-21-1993962763-879983540-839522115-1156)"/>
    <protectedRange sqref="B69:C69"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2" name="Estimating_10"/>
    <protectedRange sqref="D60" name="Estimating_1"/>
    <protectedRange sqref="D61" name="Estimating_4_1_2" securityDescriptor="O:WDG:WDD:(A;;CC;;;S-1-5-21-1993962763-879983540-839522115-1221)"/>
    <protectedRange sqref="G52" name="Estimating_8_1"/>
    <protectedRange sqref="G21" name="Estimating_8_3"/>
    <protectedRange sqref="C40:C41 C43" name="Estimating_8_2"/>
  </protectedRanges>
  <mergeCells count="10">
    <mergeCell ref="M7:O7"/>
    <mergeCell ref="B1:C1"/>
    <mergeCell ref="D60:F60"/>
    <mergeCell ref="D61:F61"/>
    <mergeCell ref="C3:D3"/>
    <mergeCell ref="G3:H3"/>
    <mergeCell ref="C5:D5"/>
    <mergeCell ref="G5:H5"/>
    <mergeCell ref="C7:D7"/>
    <mergeCell ref="G7:H7"/>
  </mergeCells>
  <conditionalFormatting sqref="B9">
    <cfRule type="containsText" dxfId="285" priority="44" operator="containsText" text="SELECT">
      <formula>NOT(ISERROR(SEARCH("SELECT",B9)))</formula>
    </cfRule>
    <cfRule type="expression" dxfId="284" priority="45">
      <formula>B9="CURRENCY"</formula>
    </cfRule>
  </conditionalFormatting>
  <conditionalFormatting sqref="B15:B30">
    <cfRule type="expression" dxfId="283" priority="16">
      <formula>$D15&gt;0</formula>
    </cfRule>
  </conditionalFormatting>
  <conditionalFormatting sqref="B49 E49:F49">
    <cfRule type="expression" dxfId="282" priority="69">
      <formula>C42="select controls"</formula>
    </cfRule>
  </conditionalFormatting>
  <conditionalFormatting sqref="C13">
    <cfRule type="containsText" dxfId="281" priority="49" operator="containsText" text="SELECT">
      <formula>NOT(ISERROR(SEARCH("SELECT",C13)))</formula>
    </cfRule>
  </conditionalFormatting>
  <conditionalFormatting sqref="C15:C22">
    <cfRule type="containsText" dxfId="280" priority="27" operator="containsText" text="SIZE">
      <formula>NOT(ISERROR(SEARCH("SIZE",C15)))</formula>
    </cfRule>
  </conditionalFormatting>
  <conditionalFormatting sqref="C25">
    <cfRule type="containsText" dxfId="279" priority="57" operator="containsText" text="SELECT CONTROLS">
      <formula>NOT(ISERROR(SEARCH("SELECT CONTROLS",C25)))</formula>
    </cfRule>
  </conditionalFormatting>
  <conditionalFormatting sqref="C26">
    <cfRule type="expression" dxfId="278" priority="52">
      <formula>$C$25="SMARTEC"</formula>
    </cfRule>
    <cfRule type="containsText" dxfId="277" priority="51" operator="containsText" text="st/st">
      <formula>NOT(ISERROR(SEARCH("st/st",C26)))</formula>
    </cfRule>
  </conditionalFormatting>
  <conditionalFormatting sqref="C32:C33">
    <cfRule type="cellIs" dxfId="276" priority="33" operator="greaterThan">
      <formula>0</formula>
    </cfRule>
  </conditionalFormatting>
  <conditionalFormatting sqref="C52:C61">
    <cfRule type="cellIs" dxfId="275" priority="47" operator="lessThan">
      <formula>1</formula>
    </cfRule>
  </conditionalFormatting>
  <conditionalFormatting sqref="C9:D9">
    <cfRule type="cellIs" dxfId="274" priority="40" operator="lessThan">
      <formula>0</formula>
    </cfRule>
    <cfRule type="cellIs" dxfId="273" priority="41" operator="greaterThan">
      <formula>0</formula>
    </cfRule>
  </conditionalFormatting>
  <conditionalFormatting sqref="C30:D30">
    <cfRule type="expression" dxfId="272" priority="56">
      <formula>$C$25="REMOTE TOUCH SCREEN"</formula>
    </cfRule>
    <cfRule type="expression" dxfId="271" priority="55">
      <formula>$C$25="SMARTEC"</formula>
    </cfRule>
  </conditionalFormatting>
  <conditionalFormatting sqref="D26">
    <cfRule type="expression" dxfId="270" priority="53">
      <formula>C25="SMARTEC"</formula>
    </cfRule>
    <cfRule type="expression" dxfId="269" priority="50">
      <formula>C26="st/st enclosure"</formula>
    </cfRule>
  </conditionalFormatting>
  <conditionalFormatting sqref="D30">
    <cfRule type="expression" dxfId="268" priority="54">
      <formula>$C$25="SMARTEC"</formula>
    </cfRule>
  </conditionalFormatting>
  <conditionalFormatting sqref="D40">
    <cfRule type="expression" dxfId="267" priority="68">
      <formula>#REF!="SMARTEC"</formula>
    </cfRule>
    <cfRule type="expression" dxfId="266" priority="67">
      <formula>C40="st/st enclosure"</formula>
    </cfRule>
  </conditionalFormatting>
  <conditionalFormatting sqref="E41:E45">
    <cfRule type="expression" dxfId="265" priority="66">
      <formula>#REF!="select controls"</formula>
    </cfRule>
  </conditionalFormatting>
  <conditionalFormatting sqref="E47 B47:B48 E48:F48">
    <cfRule type="expression" dxfId="264" priority="5659">
      <formula>C43="select controls"</formula>
    </cfRule>
  </conditionalFormatting>
  <conditionalFormatting sqref="E29:F29">
    <cfRule type="expression" dxfId="263" priority="5657">
      <formula>F41="select controls"</formula>
    </cfRule>
  </conditionalFormatting>
  <conditionalFormatting sqref="E46:F46">
    <cfRule type="expression" dxfId="262" priority="46">
      <formula>F40="select controls"</formula>
    </cfRule>
  </conditionalFormatting>
  <conditionalFormatting sqref="F42">
    <cfRule type="expression" dxfId="261" priority="2">
      <formula>G35="select controls"</formula>
    </cfRule>
  </conditionalFormatting>
  <conditionalFormatting sqref="G15:G38 G40:G49">
    <cfRule type="cellIs" dxfId="260" priority="3" operator="greaterThan">
      <formula>0</formula>
    </cfRule>
  </conditionalFormatting>
  <conditionalFormatting sqref="G52:G61">
    <cfRule type="expression" dxfId="259" priority="15">
      <formula>C52&gt;0</formula>
    </cfRule>
  </conditionalFormatting>
  <conditionalFormatting sqref="H13 J13 L13">
    <cfRule type="expression" dxfId="258" priority="58">
      <formula>$B$9="EURO"</formula>
    </cfRule>
  </conditionalFormatting>
  <conditionalFormatting sqref="I15:I38 I40:I49 I52:I61">
    <cfRule type="expression" dxfId="257" priority="63">
      <formula>$C$9&gt;0</formula>
    </cfRule>
    <cfRule type="expression" dxfId="256" priority="64">
      <formula>$C$9&lt;0</formula>
    </cfRule>
  </conditionalFormatting>
  <conditionalFormatting sqref="J39 L39">
    <cfRule type="expression" dxfId="255" priority="1">
      <formula>$B$9="EURO"</formula>
    </cfRule>
  </conditionalFormatting>
  <conditionalFormatting sqref="J63:J69">
    <cfRule type="expression" dxfId="254" priority="65">
      <formula>#REF!="EURO"</formula>
    </cfRule>
  </conditionalFormatting>
  <conditionalFormatting sqref="K1:K1048576">
    <cfRule type="expression" dxfId="253" priority="9">
      <formula>$B$9="CZK"</formula>
    </cfRule>
    <cfRule type="expression" dxfId="252" priority="8">
      <formula>$B$9="PLN"</formula>
    </cfRule>
    <cfRule type="expression" dxfId="251" priority="7">
      <formula>$B$9="USD"</formula>
    </cfRule>
    <cfRule type="expression" dxfId="250" priority="6">
      <formula>$B$9="EURO"</formula>
    </cfRule>
  </conditionalFormatting>
  <conditionalFormatting sqref="K15:K38 K40:K49">
    <cfRule type="cellIs" dxfId="249" priority="5" operator="greaterThan">
      <formula>0</formula>
    </cfRule>
  </conditionalFormatting>
  <conditionalFormatting sqref="K50">
    <cfRule type="cellIs" dxfId="248" priority="39" operator="greaterThan">
      <formula>0</formula>
    </cfRule>
  </conditionalFormatting>
  <conditionalFormatting sqref="K52:K61">
    <cfRule type="cellIs" dxfId="247" priority="17" operator="greaterThan">
      <formula>0</formula>
    </cfRule>
  </conditionalFormatting>
  <conditionalFormatting sqref="L15:L38 H15:H61 L40:L49">
    <cfRule type="cellIs" dxfId="246" priority="31" operator="greaterThan">
      <formula>0</formula>
    </cfRule>
  </conditionalFormatting>
  <conditionalFormatting sqref="L52:L61">
    <cfRule type="cellIs" dxfId="245" priority="37" operator="greaterThan">
      <formula>0</formula>
    </cfRule>
  </conditionalFormatting>
  <conditionalFormatting sqref="U42">
    <cfRule type="cellIs" dxfId="244" priority="28" operator="greaterThan">
      <formula>0</formula>
    </cfRule>
  </conditionalFormatting>
  <dataValidations count="3">
    <dataValidation type="list" allowBlank="1" showInputMessage="1" showErrorMessage="1" sqref="C65579 IE65579 SA65579 ABW65579 ALS65579 AVO65579 BFK65579 BPG65579 BZC65579 CIY65579 CSU65579 DCQ65579 DMM65579 DWI65579 EGE65579 EQA65579 EZW65579 FJS65579 FTO65579 GDK65579 GNG65579 GXC65579 HGY65579 HQU65579 IAQ65579 IKM65579 IUI65579 JEE65579 JOA65579 JXW65579 KHS65579 KRO65579 LBK65579 LLG65579 LVC65579 MEY65579 MOU65579 MYQ65579 NIM65579 NSI65579 OCE65579 OMA65579 OVW65579 PFS65579 PPO65579 PZK65579 QJG65579 QTC65579 RCY65579 RMU65579 RWQ65579 SGM65579 SQI65579 TAE65579 TKA65579 TTW65579 UDS65579 UNO65579 UXK65579 VHG65579 VRC65579 WAY65579 WKU65579 WUQ65579 C131115 IE131115 SA131115 ABW131115 ALS131115 AVO131115 BFK131115 BPG131115 BZC131115 CIY131115 CSU131115 DCQ131115 DMM131115 DWI131115 EGE131115 EQA131115 EZW131115 FJS131115 FTO131115 GDK131115 GNG131115 GXC131115 HGY131115 HQU131115 IAQ131115 IKM131115 IUI131115 JEE131115 JOA131115 JXW131115 KHS131115 KRO131115 LBK131115 LLG131115 LVC131115 MEY131115 MOU131115 MYQ131115 NIM131115 NSI131115 OCE131115 OMA131115 OVW131115 PFS131115 PPO131115 PZK131115 QJG131115 QTC131115 RCY131115 RMU131115 RWQ131115 SGM131115 SQI131115 TAE131115 TKA131115 TTW131115 UDS131115 UNO131115 UXK131115 VHG131115 VRC131115 WAY131115 WKU131115 WUQ131115 C196651 IE196651 SA196651 ABW196651 ALS196651 AVO196651 BFK196651 BPG196651 BZC196651 CIY196651 CSU196651 DCQ196651 DMM196651 DWI196651 EGE196651 EQA196651 EZW196651 FJS196651 FTO196651 GDK196651 GNG196651 GXC196651 HGY196651 HQU196651 IAQ196651 IKM196651 IUI196651 JEE196651 JOA196651 JXW196651 KHS196651 KRO196651 LBK196651 LLG196651 LVC196651 MEY196651 MOU196651 MYQ196651 NIM196651 NSI196651 OCE196651 OMA196651 OVW196651 PFS196651 PPO196651 PZK196651 QJG196651 QTC196651 RCY196651 RMU196651 RWQ196651 SGM196651 SQI196651 TAE196651 TKA196651 TTW196651 UDS196651 UNO196651 UXK196651 VHG196651 VRC196651 WAY196651 WKU196651 WUQ196651 C262187 IE262187 SA262187 ABW262187 ALS262187 AVO262187 BFK262187 BPG262187 BZC262187 CIY262187 CSU262187 DCQ262187 DMM262187 DWI262187 EGE262187 EQA262187 EZW262187 FJS262187 FTO262187 GDK262187 GNG262187 GXC262187 HGY262187 HQU262187 IAQ262187 IKM262187 IUI262187 JEE262187 JOA262187 JXW262187 KHS262187 KRO262187 LBK262187 LLG262187 LVC262187 MEY262187 MOU262187 MYQ262187 NIM262187 NSI262187 OCE262187 OMA262187 OVW262187 PFS262187 PPO262187 PZK262187 QJG262187 QTC262187 RCY262187 RMU262187 RWQ262187 SGM262187 SQI262187 TAE262187 TKA262187 TTW262187 UDS262187 UNO262187 UXK262187 VHG262187 VRC262187 WAY262187 WKU262187 WUQ262187 C327723 IE327723 SA327723 ABW327723 ALS327723 AVO327723 BFK327723 BPG327723 BZC327723 CIY327723 CSU327723 DCQ327723 DMM327723 DWI327723 EGE327723 EQA327723 EZW327723 FJS327723 FTO327723 GDK327723 GNG327723 GXC327723 HGY327723 HQU327723 IAQ327723 IKM327723 IUI327723 JEE327723 JOA327723 JXW327723 KHS327723 KRO327723 LBK327723 LLG327723 LVC327723 MEY327723 MOU327723 MYQ327723 NIM327723 NSI327723 OCE327723 OMA327723 OVW327723 PFS327723 PPO327723 PZK327723 QJG327723 QTC327723 RCY327723 RMU327723 RWQ327723 SGM327723 SQI327723 TAE327723 TKA327723 TTW327723 UDS327723 UNO327723 UXK327723 VHG327723 VRC327723 WAY327723 WKU327723 WUQ327723 C393259 IE393259 SA393259 ABW393259 ALS393259 AVO393259 BFK393259 BPG393259 BZC393259 CIY393259 CSU393259 DCQ393259 DMM393259 DWI393259 EGE393259 EQA393259 EZW393259 FJS393259 FTO393259 GDK393259 GNG393259 GXC393259 HGY393259 HQU393259 IAQ393259 IKM393259 IUI393259 JEE393259 JOA393259 JXW393259 KHS393259 KRO393259 LBK393259 LLG393259 LVC393259 MEY393259 MOU393259 MYQ393259 NIM393259 NSI393259 OCE393259 OMA393259 OVW393259 PFS393259 PPO393259 PZK393259 QJG393259 QTC393259 RCY393259 RMU393259 RWQ393259 SGM393259 SQI393259 TAE393259 TKA393259 TTW393259 UDS393259 UNO393259 UXK393259 VHG393259 VRC393259 WAY393259 WKU393259 WUQ393259 C458795 IE458795 SA458795 ABW458795 ALS458795 AVO458795 BFK458795 BPG458795 BZC458795 CIY458795 CSU458795 DCQ458795 DMM458795 DWI458795 EGE458795 EQA458795 EZW458795 FJS458795 FTO458795 GDK458795 GNG458795 GXC458795 HGY458795 HQU458795 IAQ458795 IKM458795 IUI458795 JEE458795 JOA458795 JXW458795 KHS458795 KRO458795 LBK458795 LLG458795 LVC458795 MEY458795 MOU458795 MYQ458795 NIM458795 NSI458795 OCE458795 OMA458795 OVW458795 PFS458795 PPO458795 PZK458795 QJG458795 QTC458795 RCY458795 RMU458795 RWQ458795 SGM458795 SQI458795 TAE458795 TKA458795 TTW458795 UDS458795 UNO458795 UXK458795 VHG458795 VRC458795 WAY458795 WKU458795 WUQ458795 C524331 IE524331 SA524331 ABW524331 ALS524331 AVO524331 BFK524331 BPG524331 BZC524331 CIY524331 CSU524331 DCQ524331 DMM524331 DWI524331 EGE524331 EQA524331 EZW524331 FJS524331 FTO524331 GDK524331 GNG524331 GXC524331 HGY524331 HQU524331 IAQ524331 IKM524331 IUI524331 JEE524331 JOA524331 JXW524331 KHS524331 KRO524331 LBK524331 LLG524331 LVC524331 MEY524331 MOU524331 MYQ524331 NIM524331 NSI524331 OCE524331 OMA524331 OVW524331 PFS524331 PPO524331 PZK524331 QJG524331 QTC524331 RCY524331 RMU524331 RWQ524331 SGM524331 SQI524331 TAE524331 TKA524331 TTW524331 UDS524331 UNO524331 UXK524331 VHG524331 VRC524331 WAY524331 WKU524331 WUQ524331 C589867 IE589867 SA589867 ABW589867 ALS589867 AVO589867 BFK589867 BPG589867 BZC589867 CIY589867 CSU589867 DCQ589867 DMM589867 DWI589867 EGE589867 EQA589867 EZW589867 FJS589867 FTO589867 GDK589867 GNG589867 GXC589867 HGY589867 HQU589867 IAQ589867 IKM589867 IUI589867 JEE589867 JOA589867 JXW589867 KHS589867 KRO589867 LBK589867 LLG589867 LVC589867 MEY589867 MOU589867 MYQ589867 NIM589867 NSI589867 OCE589867 OMA589867 OVW589867 PFS589867 PPO589867 PZK589867 QJG589867 QTC589867 RCY589867 RMU589867 RWQ589867 SGM589867 SQI589867 TAE589867 TKA589867 TTW589867 UDS589867 UNO589867 UXK589867 VHG589867 VRC589867 WAY589867 WKU589867 WUQ589867 C655403 IE655403 SA655403 ABW655403 ALS655403 AVO655403 BFK655403 BPG655403 BZC655403 CIY655403 CSU655403 DCQ655403 DMM655403 DWI655403 EGE655403 EQA655403 EZW655403 FJS655403 FTO655403 GDK655403 GNG655403 GXC655403 HGY655403 HQU655403 IAQ655403 IKM655403 IUI655403 JEE655403 JOA655403 JXW655403 KHS655403 KRO655403 LBK655403 LLG655403 LVC655403 MEY655403 MOU655403 MYQ655403 NIM655403 NSI655403 OCE655403 OMA655403 OVW655403 PFS655403 PPO655403 PZK655403 QJG655403 QTC655403 RCY655403 RMU655403 RWQ655403 SGM655403 SQI655403 TAE655403 TKA655403 TTW655403 UDS655403 UNO655403 UXK655403 VHG655403 VRC655403 WAY655403 WKU655403 WUQ655403 C720939 IE720939 SA720939 ABW720939 ALS720939 AVO720939 BFK720939 BPG720939 BZC720939 CIY720939 CSU720939 DCQ720939 DMM720939 DWI720939 EGE720939 EQA720939 EZW720939 FJS720939 FTO720939 GDK720939 GNG720939 GXC720939 HGY720939 HQU720939 IAQ720939 IKM720939 IUI720939 JEE720939 JOA720939 JXW720939 KHS720939 KRO720939 LBK720939 LLG720939 LVC720939 MEY720939 MOU720939 MYQ720939 NIM720939 NSI720939 OCE720939 OMA720939 OVW720939 PFS720939 PPO720939 PZK720939 QJG720939 QTC720939 RCY720939 RMU720939 RWQ720939 SGM720939 SQI720939 TAE720939 TKA720939 TTW720939 UDS720939 UNO720939 UXK720939 VHG720939 VRC720939 WAY720939 WKU720939 WUQ720939 C786475 IE786475 SA786475 ABW786475 ALS786475 AVO786475 BFK786475 BPG786475 BZC786475 CIY786475 CSU786475 DCQ786475 DMM786475 DWI786475 EGE786475 EQA786475 EZW786475 FJS786475 FTO786475 GDK786475 GNG786475 GXC786475 HGY786475 HQU786475 IAQ786475 IKM786475 IUI786475 JEE786475 JOA786475 JXW786475 KHS786475 KRO786475 LBK786475 LLG786475 LVC786475 MEY786475 MOU786475 MYQ786475 NIM786475 NSI786475 OCE786475 OMA786475 OVW786475 PFS786475 PPO786475 PZK786475 QJG786475 QTC786475 RCY786475 RMU786475 RWQ786475 SGM786475 SQI786475 TAE786475 TKA786475 TTW786475 UDS786475 UNO786475 UXK786475 VHG786475 VRC786475 WAY786475 WKU786475 WUQ786475 C852011 IE852011 SA852011 ABW852011 ALS852011 AVO852011 BFK852011 BPG852011 BZC852011 CIY852011 CSU852011 DCQ852011 DMM852011 DWI852011 EGE852011 EQA852011 EZW852011 FJS852011 FTO852011 GDK852011 GNG852011 GXC852011 HGY852011 HQU852011 IAQ852011 IKM852011 IUI852011 JEE852011 JOA852011 JXW852011 KHS852011 KRO852011 LBK852011 LLG852011 LVC852011 MEY852011 MOU852011 MYQ852011 NIM852011 NSI852011 OCE852011 OMA852011 OVW852011 PFS852011 PPO852011 PZK852011 QJG852011 QTC852011 RCY852011 RMU852011 RWQ852011 SGM852011 SQI852011 TAE852011 TKA852011 TTW852011 UDS852011 UNO852011 UXK852011 VHG852011 VRC852011 WAY852011 WKU852011 WUQ852011 C917547 IE917547 SA917547 ABW917547 ALS917547 AVO917547 BFK917547 BPG917547 BZC917547 CIY917547 CSU917547 DCQ917547 DMM917547 DWI917547 EGE917547 EQA917547 EZW917547 FJS917547 FTO917547 GDK917547 GNG917547 GXC917547 HGY917547 HQU917547 IAQ917547 IKM917547 IUI917547 JEE917547 JOA917547 JXW917547 KHS917547 KRO917547 LBK917547 LLG917547 LVC917547 MEY917547 MOU917547 MYQ917547 NIM917547 NSI917547 OCE917547 OMA917547 OVW917547 PFS917547 PPO917547 PZK917547 QJG917547 QTC917547 RCY917547 RMU917547 RWQ917547 SGM917547 SQI917547 TAE917547 TKA917547 TTW917547 UDS917547 UNO917547 UXK917547 VHG917547 VRC917547 WAY917547 WKU917547 WUQ917547 C983083 IE983083 SA983083 ABW983083 ALS983083 AVO983083 BFK983083 BPG983083 BZC983083 CIY983083 CSU983083 DCQ983083 DMM983083 DWI983083 EGE983083 EQA983083 EZW983083 FJS983083 FTO983083 GDK983083 GNG983083 GXC983083 HGY983083 HQU983083 IAQ983083 IKM983083 IUI983083 JEE983083 JOA983083 JXW983083 KHS983083 KRO983083 LBK983083 LLG983083 LVC983083 MEY983083 MOU983083 MYQ983083 NIM983083 NSI983083 OCE983083 OMA983083 OVW983083 PFS983083 PPO983083 PZK983083 QJG983083 QTC983083 RCY983083 RMU983083 RWQ983083 SGM983083 SQI983083 TAE983083 TKA983083 TTW983083 UDS983083 UNO983083 UXK983083 VHG983083 VRC983083 WAY983083 WKU983083 WUQ983083 IE52:IE53 SA52:SA53 ABW52:ABW53 ALS52:ALS53 AVO52:AVO53 BFK52:BFK53 BPG52:BPG53 BZC52:BZC53 CIY52:CIY53 CSU52:CSU53 DCQ52:DCQ53 DMM52:DMM53 DWI52:DWI53 EGE52:EGE53 EQA52:EQA53 EZW52:EZW53 FJS52:FJS53 FTO52:FTO53 GDK52:GDK53 GNG52:GNG53 GXC52:GXC53 HGY52:HGY53 HQU52:HQU53 IAQ52:IAQ53 IKM52:IKM53 IUI52:IUI53 JEE52:JEE53 JOA52:JOA53 JXW52:JXW53 KHS52:KHS53 KRO52:KRO53 LBK52:LBK53 LLG52:LLG53 LVC52:LVC53 MEY52:MEY53 MOU52:MOU53 MYQ52:MYQ53 NIM52:NIM53 NSI52:NSI53 OCE52:OCE53 OMA52:OMA53 OVW52:OVW53 PFS52:PFS53 PPO52:PPO53 PZK52:PZK53 QJG52:QJG53 QTC52:QTC53 RCY52:RCY53 RMU52:RMU53 RWQ52:RWQ53 SGM52:SGM53 SQI52:SQI53 TAE52:TAE53 TKA52:TKA53 TTW52:TTW53 UDS52:UDS53 UNO52:UNO53 UXK52:UXK53 VHG52:VHG53 VRC52:VRC53 WAY52:WAY53 WKU52:WKU53 WUQ52:WUQ53 WUQ983063:WUQ983064 C65584 IE65584 SA65584 ABW65584 ALS65584 AVO65584 BFK65584 BPG65584 BZC65584 CIY65584 CSU65584 DCQ65584 DMM65584 DWI65584 EGE65584 EQA65584 EZW65584 FJS65584 FTO65584 GDK65584 GNG65584 GXC65584 HGY65584 HQU65584 IAQ65584 IKM65584 IUI65584 JEE65584 JOA65584 JXW65584 KHS65584 KRO65584 LBK65584 LLG65584 LVC65584 MEY65584 MOU65584 MYQ65584 NIM65584 NSI65584 OCE65584 OMA65584 OVW65584 PFS65584 PPO65584 PZK65584 QJG65584 QTC65584 RCY65584 RMU65584 RWQ65584 SGM65584 SQI65584 TAE65584 TKA65584 TTW65584 UDS65584 UNO65584 UXK65584 VHG65584 VRC65584 WAY65584 WKU65584 WUQ65584 C131120 IE131120 SA131120 ABW131120 ALS131120 AVO131120 BFK131120 BPG131120 BZC131120 CIY131120 CSU131120 DCQ131120 DMM131120 DWI131120 EGE131120 EQA131120 EZW131120 FJS131120 FTO131120 GDK131120 GNG131120 GXC131120 HGY131120 HQU131120 IAQ131120 IKM131120 IUI131120 JEE131120 JOA131120 JXW131120 KHS131120 KRO131120 LBK131120 LLG131120 LVC131120 MEY131120 MOU131120 MYQ131120 NIM131120 NSI131120 OCE131120 OMA131120 OVW131120 PFS131120 PPO131120 PZK131120 QJG131120 QTC131120 RCY131120 RMU131120 RWQ131120 SGM131120 SQI131120 TAE131120 TKA131120 TTW131120 UDS131120 UNO131120 UXK131120 VHG131120 VRC131120 WAY131120 WKU131120 WUQ131120 C196656 IE196656 SA196656 ABW196656 ALS196656 AVO196656 BFK196656 BPG196656 BZC196656 CIY196656 CSU196656 DCQ196656 DMM196656 DWI196656 EGE196656 EQA196656 EZW196656 FJS196656 FTO196656 GDK196656 GNG196656 GXC196656 HGY196656 HQU196656 IAQ196656 IKM196656 IUI196656 JEE196656 JOA196656 JXW196656 KHS196656 KRO196656 LBK196656 LLG196656 LVC196656 MEY196656 MOU196656 MYQ196656 NIM196656 NSI196656 OCE196656 OMA196656 OVW196656 PFS196656 PPO196656 PZK196656 QJG196656 QTC196656 RCY196656 RMU196656 RWQ196656 SGM196656 SQI196656 TAE196656 TKA196656 TTW196656 UDS196656 UNO196656 UXK196656 VHG196656 VRC196656 WAY196656 WKU196656 WUQ196656 C262192 IE262192 SA262192 ABW262192 ALS262192 AVO262192 BFK262192 BPG262192 BZC262192 CIY262192 CSU262192 DCQ262192 DMM262192 DWI262192 EGE262192 EQA262192 EZW262192 FJS262192 FTO262192 GDK262192 GNG262192 GXC262192 HGY262192 HQU262192 IAQ262192 IKM262192 IUI262192 JEE262192 JOA262192 JXW262192 KHS262192 KRO262192 LBK262192 LLG262192 LVC262192 MEY262192 MOU262192 MYQ262192 NIM262192 NSI262192 OCE262192 OMA262192 OVW262192 PFS262192 PPO262192 PZK262192 QJG262192 QTC262192 RCY262192 RMU262192 RWQ262192 SGM262192 SQI262192 TAE262192 TKA262192 TTW262192 UDS262192 UNO262192 UXK262192 VHG262192 VRC262192 WAY262192 WKU262192 WUQ262192 C327728 IE327728 SA327728 ABW327728 ALS327728 AVO327728 BFK327728 BPG327728 BZC327728 CIY327728 CSU327728 DCQ327728 DMM327728 DWI327728 EGE327728 EQA327728 EZW327728 FJS327728 FTO327728 GDK327728 GNG327728 GXC327728 HGY327728 HQU327728 IAQ327728 IKM327728 IUI327728 JEE327728 JOA327728 JXW327728 KHS327728 KRO327728 LBK327728 LLG327728 LVC327728 MEY327728 MOU327728 MYQ327728 NIM327728 NSI327728 OCE327728 OMA327728 OVW327728 PFS327728 PPO327728 PZK327728 QJG327728 QTC327728 RCY327728 RMU327728 RWQ327728 SGM327728 SQI327728 TAE327728 TKA327728 TTW327728 UDS327728 UNO327728 UXK327728 VHG327728 VRC327728 WAY327728 WKU327728 WUQ327728 C393264 IE393264 SA393264 ABW393264 ALS393264 AVO393264 BFK393264 BPG393264 BZC393264 CIY393264 CSU393264 DCQ393264 DMM393264 DWI393264 EGE393264 EQA393264 EZW393264 FJS393264 FTO393264 GDK393264 GNG393264 GXC393264 HGY393264 HQU393264 IAQ393264 IKM393264 IUI393264 JEE393264 JOA393264 JXW393264 KHS393264 KRO393264 LBK393264 LLG393264 LVC393264 MEY393264 MOU393264 MYQ393264 NIM393264 NSI393264 OCE393264 OMA393264 OVW393264 PFS393264 PPO393264 PZK393264 QJG393264 QTC393264 RCY393264 RMU393264 RWQ393264 SGM393264 SQI393264 TAE393264 TKA393264 TTW393264 UDS393264 UNO393264 UXK393264 VHG393264 VRC393264 WAY393264 WKU393264 WUQ393264 C458800 IE458800 SA458800 ABW458800 ALS458800 AVO458800 BFK458800 BPG458800 BZC458800 CIY458800 CSU458800 DCQ458800 DMM458800 DWI458800 EGE458800 EQA458800 EZW458800 FJS458800 FTO458800 GDK458800 GNG458800 GXC458800 HGY458800 HQU458800 IAQ458800 IKM458800 IUI458800 JEE458800 JOA458800 JXW458800 KHS458800 KRO458800 LBK458800 LLG458800 LVC458800 MEY458800 MOU458800 MYQ458800 NIM458800 NSI458800 OCE458800 OMA458800 OVW458800 PFS458800 PPO458800 PZK458800 QJG458800 QTC458800 RCY458800 RMU458800 RWQ458800 SGM458800 SQI458800 TAE458800 TKA458800 TTW458800 UDS458800 UNO458800 UXK458800 VHG458800 VRC458800 WAY458800 WKU458800 WUQ458800 C524336 IE524336 SA524336 ABW524336 ALS524336 AVO524336 BFK524336 BPG524336 BZC524336 CIY524336 CSU524336 DCQ524336 DMM524336 DWI524336 EGE524336 EQA524336 EZW524336 FJS524336 FTO524336 GDK524336 GNG524336 GXC524336 HGY524336 HQU524336 IAQ524336 IKM524336 IUI524336 JEE524336 JOA524336 JXW524336 KHS524336 KRO524336 LBK524336 LLG524336 LVC524336 MEY524336 MOU524336 MYQ524336 NIM524336 NSI524336 OCE524336 OMA524336 OVW524336 PFS524336 PPO524336 PZK524336 QJG524336 QTC524336 RCY524336 RMU524336 RWQ524336 SGM524336 SQI524336 TAE524336 TKA524336 TTW524336 UDS524336 UNO524336 UXK524336 VHG524336 VRC524336 WAY524336 WKU524336 WUQ524336 C589872 IE589872 SA589872 ABW589872 ALS589872 AVO589872 BFK589872 BPG589872 BZC589872 CIY589872 CSU589872 DCQ589872 DMM589872 DWI589872 EGE589872 EQA589872 EZW589872 FJS589872 FTO589872 GDK589872 GNG589872 GXC589872 HGY589872 HQU589872 IAQ589872 IKM589872 IUI589872 JEE589872 JOA589872 JXW589872 KHS589872 KRO589872 LBK589872 LLG589872 LVC589872 MEY589872 MOU589872 MYQ589872 NIM589872 NSI589872 OCE589872 OMA589872 OVW589872 PFS589872 PPO589872 PZK589872 QJG589872 QTC589872 RCY589872 RMU589872 RWQ589872 SGM589872 SQI589872 TAE589872 TKA589872 TTW589872 UDS589872 UNO589872 UXK589872 VHG589872 VRC589872 WAY589872 WKU589872 WUQ589872 C655408 IE655408 SA655408 ABW655408 ALS655408 AVO655408 BFK655408 BPG655408 BZC655408 CIY655408 CSU655408 DCQ655408 DMM655408 DWI655408 EGE655408 EQA655408 EZW655408 FJS655408 FTO655408 GDK655408 GNG655408 GXC655408 HGY655408 HQU655408 IAQ655408 IKM655408 IUI655408 JEE655408 JOA655408 JXW655408 KHS655408 KRO655408 LBK655408 LLG655408 LVC655408 MEY655408 MOU655408 MYQ655408 NIM655408 NSI655408 OCE655408 OMA655408 OVW655408 PFS655408 PPO655408 PZK655408 QJG655408 QTC655408 RCY655408 RMU655408 RWQ655408 SGM655408 SQI655408 TAE655408 TKA655408 TTW655408 UDS655408 UNO655408 UXK655408 VHG655408 VRC655408 WAY655408 WKU655408 WUQ655408 C720944 IE720944 SA720944 ABW720944 ALS720944 AVO720944 BFK720944 BPG720944 BZC720944 CIY720944 CSU720944 DCQ720944 DMM720944 DWI720944 EGE720944 EQA720944 EZW720944 FJS720944 FTO720944 GDK720944 GNG720944 GXC720944 HGY720944 HQU720944 IAQ720944 IKM720944 IUI720944 JEE720944 JOA720944 JXW720944 KHS720944 KRO720944 LBK720944 LLG720944 LVC720944 MEY720944 MOU720944 MYQ720944 NIM720944 NSI720944 OCE720944 OMA720944 OVW720944 PFS720944 PPO720944 PZK720944 QJG720944 QTC720944 RCY720944 RMU720944 RWQ720944 SGM720944 SQI720944 TAE720944 TKA720944 TTW720944 UDS720944 UNO720944 UXK720944 VHG720944 VRC720944 WAY720944 WKU720944 WUQ720944 C786480 IE786480 SA786480 ABW786480 ALS786480 AVO786480 BFK786480 BPG786480 BZC786480 CIY786480 CSU786480 DCQ786480 DMM786480 DWI786480 EGE786480 EQA786480 EZW786480 FJS786480 FTO786480 GDK786480 GNG786480 GXC786480 HGY786480 HQU786480 IAQ786480 IKM786480 IUI786480 JEE786480 JOA786480 JXW786480 KHS786480 KRO786480 LBK786480 LLG786480 LVC786480 MEY786480 MOU786480 MYQ786480 NIM786480 NSI786480 OCE786480 OMA786480 OVW786480 PFS786480 PPO786480 PZK786480 QJG786480 QTC786480 RCY786480 RMU786480 RWQ786480 SGM786480 SQI786480 TAE786480 TKA786480 TTW786480 UDS786480 UNO786480 UXK786480 VHG786480 VRC786480 WAY786480 WKU786480 WUQ786480 C852016 IE852016 SA852016 ABW852016 ALS852016 AVO852016 BFK852016 BPG852016 BZC852016 CIY852016 CSU852016 DCQ852016 DMM852016 DWI852016 EGE852016 EQA852016 EZW852016 FJS852016 FTO852016 GDK852016 GNG852016 GXC852016 HGY852016 HQU852016 IAQ852016 IKM852016 IUI852016 JEE852016 JOA852016 JXW852016 KHS852016 KRO852016 LBK852016 LLG852016 LVC852016 MEY852016 MOU852016 MYQ852016 NIM852016 NSI852016 OCE852016 OMA852016 OVW852016 PFS852016 PPO852016 PZK852016 QJG852016 QTC852016 RCY852016 RMU852016 RWQ852016 SGM852016 SQI852016 TAE852016 TKA852016 TTW852016 UDS852016 UNO852016 UXK852016 VHG852016 VRC852016 WAY852016 WKU852016 WUQ852016 C917552 IE917552 SA917552 ABW917552 ALS917552 AVO917552 BFK917552 BPG917552 BZC917552 CIY917552 CSU917552 DCQ917552 DMM917552 DWI917552 EGE917552 EQA917552 EZW917552 FJS917552 FTO917552 GDK917552 GNG917552 GXC917552 HGY917552 HQU917552 IAQ917552 IKM917552 IUI917552 JEE917552 JOA917552 JXW917552 KHS917552 KRO917552 LBK917552 LLG917552 LVC917552 MEY917552 MOU917552 MYQ917552 NIM917552 NSI917552 OCE917552 OMA917552 OVW917552 PFS917552 PPO917552 PZK917552 QJG917552 QTC917552 RCY917552 RMU917552 RWQ917552 SGM917552 SQI917552 TAE917552 TKA917552 TTW917552 UDS917552 UNO917552 UXK917552 VHG917552 VRC917552 WAY917552 WKU917552 WUQ917552 C983088 IE983088 SA983088 ABW983088 ALS983088 AVO983088 BFK983088 BPG983088 BZC983088 CIY983088 CSU983088 DCQ983088 DMM983088 DWI983088 EGE983088 EQA983088 EZW983088 FJS983088 FTO983088 GDK983088 GNG983088 GXC983088 HGY983088 HQU983088 IAQ983088 IKM983088 IUI983088 JEE983088 JOA983088 JXW983088 KHS983088 KRO983088 LBK983088 LLG983088 LVC983088 MEY983088 MOU983088 MYQ983088 NIM983088 NSI983088 OCE983088 OMA983088 OVW983088 PFS983088 PPO983088 PZK983088 QJG983088 QTC983088 RCY983088 RMU983088 RWQ983088 SGM983088 SQI983088 TAE983088 TKA983088 TTW983088 UDS983088 UNO983088 UXK983088 VHG983088 VRC983088 WAY983088 WKU983088 WUQ983088 IE15:IE22 IE40:IE45 SA40:SA45 ABW40:ABW45 ALS40:ALS45 AVO40:AVO45 BFK40:BFK45 BPG40:BPG45 BZC40:BZC45 CIY40:CIY45 CSU40:CSU45 DCQ40:DCQ45 DMM40:DMM45 DWI40:DWI45 EGE40:EGE45 EQA40:EQA45 EZW40:EZW45 FJS40:FJS45 FTO40:FTO45 GDK40:GDK45 GNG40:GNG45 GXC40:GXC45 HGY40:HGY45 HQU40:HQU45 IAQ40:IAQ45 IKM40:IKM45 IUI40:IUI45 JEE40:JEE45 JOA40:JOA45 JXW40:JXW45 KHS40:KHS45 KRO40:KRO45 LBK40:LBK45 LLG40:LLG45 LVC40:LVC45 MEY40:MEY45 MOU40:MOU45 MYQ40:MYQ45 NIM40:NIM45 NSI40:NSI45 OCE40:OCE45 OMA40:OMA45 OVW40:OVW45 PFS40:PFS45 PPO40:PPO45 PZK40:PZK45 QJG40:QJG45 QTC40:QTC45 RCY40:RCY45 RMU40:RMU45 RWQ40:RWQ45 SGM40:SGM45 SQI40:SQI45 TAE40:TAE45 TKA40:TKA45 TTW40:TTW45 UDS40:UDS45 UNO40:UNO45 UXK40:UXK45 VHG40:VHG45 VRC40:VRC45 WAY40:WAY45 WKU40:WKU45 WUQ40:WUQ45 C65559:C65560 IE65559:IE65560 SA65559:SA65560 ABW65559:ABW65560 ALS65559:ALS65560 AVO65559:AVO65560 BFK65559:BFK65560 BPG65559:BPG65560 BZC65559:BZC65560 CIY65559:CIY65560 CSU65559:CSU65560 DCQ65559:DCQ65560 DMM65559:DMM65560 DWI65559:DWI65560 EGE65559:EGE65560 EQA65559:EQA65560 EZW65559:EZW65560 FJS65559:FJS65560 FTO65559:FTO65560 GDK65559:GDK65560 GNG65559:GNG65560 GXC65559:GXC65560 HGY65559:HGY65560 HQU65559:HQU65560 IAQ65559:IAQ65560 IKM65559:IKM65560 IUI65559:IUI65560 JEE65559:JEE65560 JOA65559:JOA65560 JXW65559:JXW65560 KHS65559:KHS65560 KRO65559:KRO65560 LBK65559:LBK65560 LLG65559:LLG65560 LVC65559:LVC65560 MEY65559:MEY65560 MOU65559:MOU65560 MYQ65559:MYQ65560 NIM65559:NIM65560 NSI65559:NSI65560 OCE65559:OCE65560 OMA65559:OMA65560 OVW65559:OVW65560 PFS65559:PFS65560 PPO65559:PPO65560 PZK65559:PZK65560 QJG65559:QJG65560 QTC65559:QTC65560 RCY65559:RCY65560 RMU65559:RMU65560 RWQ65559:RWQ65560 SGM65559:SGM65560 SQI65559:SQI65560 TAE65559:TAE65560 TKA65559:TKA65560 TTW65559:TTW65560 UDS65559:UDS65560 UNO65559:UNO65560 UXK65559:UXK65560 VHG65559:VHG65560 VRC65559:VRC65560 WAY65559:WAY65560 WKU65559:WKU65560 WUQ65559:WUQ65560 C131095:C131096 IE131095:IE131096 SA131095:SA131096 ABW131095:ABW131096 ALS131095:ALS131096 AVO131095:AVO131096 BFK131095:BFK131096 BPG131095:BPG131096 BZC131095:BZC131096 CIY131095:CIY131096 CSU131095:CSU131096 DCQ131095:DCQ131096 DMM131095:DMM131096 DWI131095:DWI131096 EGE131095:EGE131096 EQA131095:EQA131096 EZW131095:EZW131096 FJS131095:FJS131096 FTO131095:FTO131096 GDK131095:GDK131096 GNG131095:GNG131096 GXC131095:GXC131096 HGY131095:HGY131096 HQU131095:HQU131096 IAQ131095:IAQ131096 IKM131095:IKM131096 IUI131095:IUI131096 JEE131095:JEE131096 JOA131095:JOA131096 JXW131095:JXW131096 KHS131095:KHS131096 KRO131095:KRO131096 LBK131095:LBK131096 LLG131095:LLG131096 LVC131095:LVC131096 MEY131095:MEY131096 MOU131095:MOU131096 MYQ131095:MYQ131096 NIM131095:NIM131096 NSI131095:NSI131096 OCE131095:OCE131096 OMA131095:OMA131096 OVW131095:OVW131096 PFS131095:PFS131096 PPO131095:PPO131096 PZK131095:PZK131096 QJG131095:QJG131096 QTC131095:QTC131096 RCY131095:RCY131096 RMU131095:RMU131096 RWQ131095:RWQ131096 SGM131095:SGM131096 SQI131095:SQI131096 TAE131095:TAE131096 TKA131095:TKA131096 TTW131095:TTW131096 UDS131095:UDS131096 UNO131095:UNO131096 UXK131095:UXK131096 VHG131095:VHG131096 VRC131095:VRC131096 WAY131095:WAY131096 WKU131095:WKU131096 WUQ131095:WUQ131096 C196631:C196632 IE196631:IE196632 SA196631:SA196632 ABW196631:ABW196632 ALS196631:ALS196632 AVO196631:AVO196632 BFK196631:BFK196632 BPG196631:BPG196632 BZC196631:BZC196632 CIY196631:CIY196632 CSU196631:CSU196632 DCQ196631:DCQ196632 DMM196631:DMM196632 DWI196631:DWI196632 EGE196631:EGE196632 EQA196631:EQA196632 EZW196631:EZW196632 FJS196631:FJS196632 FTO196631:FTO196632 GDK196631:GDK196632 GNG196631:GNG196632 GXC196631:GXC196632 HGY196631:HGY196632 HQU196631:HQU196632 IAQ196631:IAQ196632 IKM196631:IKM196632 IUI196631:IUI196632 JEE196631:JEE196632 JOA196631:JOA196632 JXW196631:JXW196632 KHS196631:KHS196632 KRO196631:KRO196632 LBK196631:LBK196632 LLG196631:LLG196632 LVC196631:LVC196632 MEY196631:MEY196632 MOU196631:MOU196632 MYQ196631:MYQ196632 NIM196631:NIM196632 NSI196631:NSI196632 OCE196631:OCE196632 OMA196631:OMA196632 OVW196631:OVW196632 PFS196631:PFS196632 PPO196631:PPO196632 PZK196631:PZK196632 QJG196631:QJG196632 QTC196631:QTC196632 RCY196631:RCY196632 RMU196631:RMU196632 RWQ196631:RWQ196632 SGM196631:SGM196632 SQI196631:SQI196632 TAE196631:TAE196632 TKA196631:TKA196632 TTW196631:TTW196632 UDS196631:UDS196632 UNO196631:UNO196632 UXK196631:UXK196632 VHG196631:VHG196632 VRC196631:VRC196632 WAY196631:WAY196632 WKU196631:WKU196632 WUQ196631:WUQ196632 C262167:C262168 IE262167:IE262168 SA262167:SA262168 ABW262167:ABW262168 ALS262167:ALS262168 AVO262167:AVO262168 BFK262167:BFK262168 BPG262167:BPG262168 BZC262167:BZC262168 CIY262167:CIY262168 CSU262167:CSU262168 DCQ262167:DCQ262168 DMM262167:DMM262168 DWI262167:DWI262168 EGE262167:EGE262168 EQA262167:EQA262168 EZW262167:EZW262168 FJS262167:FJS262168 FTO262167:FTO262168 GDK262167:GDK262168 GNG262167:GNG262168 GXC262167:GXC262168 HGY262167:HGY262168 HQU262167:HQU262168 IAQ262167:IAQ262168 IKM262167:IKM262168 IUI262167:IUI262168 JEE262167:JEE262168 JOA262167:JOA262168 JXW262167:JXW262168 KHS262167:KHS262168 KRO262167:KRO262168 LBK262167:LBK262168 LLG262167:LLG262168 LVC262167:LVC262168 MEY262167:MEY262168 MOU262167:MOU262168 MYQ262167:MYQ262168 NIM262167:NIM262168 NSI262167:NSI262168 OCE262167:OCE262168 OMA262167:OMA262168 OVW262167:OVW262168 PFS262167:PFS262168 PPO262167:PPO262168 PZK262167:PZK262168 QJG262167:QJG262168 QTC262167:QTC262168 RCY262167:RCY262168 RMU262167:RMU262168 RWQ262167:RWQ262168 SGM262167:SGM262168 SQI262167:SQI262168 TAE262167:TAE262168 TKA262167:TKA262168 TTW262167:TTW262168 UDS262167:UDS262168 UNO262167:UNO262168 UXK262167:UXK262168 VHG262167:VHG262168 VRC262167:VRC262168 WAY262167:WAY262168 WKU262167:WKU262168 WUQ262167:WUQ262168 C327703:C327704 IE327703:IE327704 SA327703:SA327704 ABW327703:ABW327704 ALS327703:ALS327704 AVO327703:AVO327704 BFK327703:BFK327704 BPG327703:BPG327704 BZC327703:BZC327704 CIY327703:CIY327704 CSU327703:CSU327704 DCQ327703:DCQ327704 DMM327703:DMM327704 DWI327703:DWI327704 EGE327703:EGE327704 EQA327703:EQA327704 EZW327703:EZW327704 FJS327703:FJS327704 FTO327703:FTO327704 GDK327703:GDK327704 GNG327703:GNG327704 GXC327703:GXC327704 HGY327703:HGY327704 HQU327703:HQU327704 IAQ327703:IAQ327704 IKM327703:IKM327704 IUI327703:IUI327704 JEE327703:JEE327704 JOA327703:JOA327704 JXW327703:JXW327704 KHS327703:KHS327704 KRO327703:KRO327704 LBK327703:LBK327704 LLG327703:LLG327704 LVC327703:LVC327704 MEY327703:MEY327704 MOU327703:MOU327704 MYQ327703:MYQ327704 NIM327703:NIM327704 NSI327703:NSI327704 OCE327703:OCE327704 OMA327703:OMA327704 OVW327703:OVW327704 PFS327703:PFS327704 PPO327703:PPO327704 PZK327703:PZK327704 QJG327703:QJG327704 QTC327703:QTC327704 RCY327703:RCY327704 RMU327703:RMU327704 RWQ327703:RWQ327704 SGM327703:SGM327704 SQI327703:SQI327704 TAE327703:TAE327704 TKA327703:TKA327704 TTW327703:TTW327704 UDS327703:UDS327704 UNO327703:UNO327704 UXK327703:UXK327704 VHG327703:VHG327704 VRC327703:VRC327704 WAY327703:WAY327704 WKU327703:WKU327704 WUQ327703:WUQ327704 C393239:C393240 IE393239:IE393240 SA393239:SA393240 ABW393239:ABW393240 ALS393239:ALS393240 AVO393239:AVO393240 BFK393239:BFK393240 BPG393239:BPG393240 BZC393239:BZC393240 CIY393239:CIY393240 CSU393239:CSU393240 DCQ393239:DCQ393240 DMM393239:DMM393240 DWI393239:DWI393240 EGE393239:EGE393240 EQA393239:EQA393240 EZW393239:EZW393240 FJS393239:FJS393240 FTO393239:FTO393240 GDK393239:GDK393240 GNG393239:GNG393240 GXC393239:GXC393240 HGY393239:HGY393240 HQU393239:HQU393240 IAQ393239:IAQ393240 IKM393239:IKM393240 IUI393239:IUI393240 JEE393239:JEE393240 JOA393239:JOA393240 JXW393239:JXW393240 KHS393239:KHS393240 KRO393239:KRO393240 LBK393239:LBK393240 LLG393239:LLG393240 LVC393239:LVC393240 MEY393239:MEY393240 MOU393239:MOU393240 MYQ393239:MYQ393240 NIM393239:NIM393240 NSI393239:NSI393240 OCE393239:OCE393240 OMA393239:OMA393240 OVW393239:OVW393240 PFS393239:PFS393240 PPO393239:PPO393240 PZK393239:PZK393240 QJG393239:QJG393240 QTC393239:QTC393240 RCY393239:RCY393240 RMU393239:RMU393240 RWQ393239:RWQ393240 SGM393239:SGM393240 SQI393239:SQI393240 TAE393239:TAE393240 TKA393239:TKA393240 TTW393239:TTW393240 UDS393239:UDS393240 UNO393239:UNO393240 UXK393239:UXK393240 VHG393239:VHG393240 VRC393239:VRC393240 WAY393239:WAY393240 WKU393239:WKU393240 WUQ393239:WUQ393240 C458775:C458776 IE458775:IE458776 SA458775:SA458776 ABW458775:ABW458776 ALS458775:ALS458776 AVO458775:AVO458776 BFK458775:BFK458776 BPG458775:BPG458776 BZC458775:BZC458776 CIY458775:CIY458776 CSU458775:CSU458776 DCQ458775:DCQ458776 DMM458775:DMM458776 DWI458775:DWI458776 EGE458775:EGE458776 EQA458775:EQA458776 EZW458775:EZW458776 FJS458775:FJS458776 FTO458775:FTO458776 GDK458775:GDK458776 GNG458775:GNG458776 GXC458775:GXC458776 HGY458775:HGY458776 HQU458775:HQU458776 IAQ458775:IAQ458776 IKM458775:IKM458776 IUI458775:IUI458776 JEE458775:JEE458776 JOA458775:JOA458776 JXW458775:JXW458776 KHS458775:KHS458776 KRO458775:KRO458776 LBK458775:LBK458776 LLG458775:LLG458776 LVC458775:LVC458776 MEY458775:MEY458776 MOU458775:MOU458776 MYQ458775:MYQ458776 NIM458775:NIM458776 NSI458775:NSI458776 OCE458775:OCE458776 OMA458775:OMA458776 OVW458775:OVW458776 PFS458775:PFS458776 PPO458775:PPO458776 PZK458775:PZK458776 QJG458775:QJG458776 QTC458775:QTC458776 RCY458775:RCY458776 RMU458775:RMU458776 RWQ458775:RWQ458776 SGM458775:SGM458776 SQI458775:SQI458776 TAE458775:TAE458776 TKA458775:TKA458776 TTW458775:TTW458776 UDS458775:UDS458776 UNO458775:UNO458776 UXK458775:UXK458776 VHG458775:VHG458776 VRC458775:VRC458776 WAY458775:WAY458776 WKU458775:WKU458776 WUQ458775:WUQ458776 C524311:C524312 IE524311:IE524312 SA524311:SA524312 ABW524311:ABW524312 ALS524311:ALS524312 AVO524311:AVO524312 BFK524311:BFK524312 BPG524311:BPG524312 BZC524311:BZC524312 CIY524311:CIY524312 CSU524311:CSU524312 DCQ524311:DCQ524312 DMM524311:DMM524312 DWI524311:DWI524312 EGE524311:EGE524312 EQA524311:EQA524312 EZW524311:EZW524312 FJS524311:FJS524312 FTO524311:FTO524312 GDK524311:GDK524312 GNG524311:GNG524312 GXC524311:GXC524312 HGY524311:HGY524312 HQU524311:HQU524312 IAQ524311:IAQ524312 IKM524311:IKM524312 IUI524311:IUI524312 JEE524311:JEE524312 JOA524311:JOA524312 JXW524311:JXW524312 KHS524311:KHS524312 KRO524311:KRO524312 LBK524311:LBK524312 LLG524311:LLG524312 LVC524311:LVC524312 MEY524311:MEY524312 MOU524311:MOU524312 MYQ524311:MYQ524312 NIM524311:NIM524312 NSI524311:NSI524312 OCE524311:OCE524312 OMA524311:OMA524312 OVW524311:OVW524312 PFS524311:PFS524312 PPO524311:PPO524312 PZK524311:PZK524312 QJG524311:QJG524312 QTC524311:QTC524312 RCY524311:RCY524312 RMU524311:RMU524312 RWQ524311:RWQ524312 SGM524311:SGM524312 SQI524311:SQI524312 TAE524311:TAE524312 TKA524311:TKA524312 TTW524311:TTW524312 UDS524311:UDS524312 UNO524311:UNO524312 UXK524311:UXK524312 VHG524311:VHG524312 VRC524311:VRC524312 WAY524311:WAY524312 WKU524311:WKU524312 WUQ524311:WUQ524312 C589847:C589848 IE589847:IE589848 SA589847:SA589848 ABW589847:ABW589848 ALS589847:ALS589848 AVO589847:AVO589848 BFK589847:BFK589848 BPG589847:BPG589848 BZC589847:BZC589848 CIY589847:CIY589848 CSU589847:CSU589848 DCQ589847:DCQ589848 DMM589847:DMM589848 DWI589847:DWI589848 EGE589847:EGE589848 EQA589847:EQA589848 EZW589847:EZW589848 FJS589847:FJS589848 FTO589847:FTO589848 GDK589847:GDK589848 GNG589847:GNG589848 GXC589847:GXC589848 HGY589847:HGY589848 HQU589847:HQU589848 IAQ589847:IAQ589848 IKM589847:IKM589848 IUI589847:IUI589848 JEE589847:JEE589848 JOA589847:JOA589848 JXW589847:JXW589848 KHS589847:KHS589848 KRO589847:KRO589848 LBK589847:LBK589848 LLG589847:LLG589848 LVC589847:LVC589848 MEY589847:MEY589848 MOU589847:MOU589848 MYQ589847:MYQ589848 NIM589847:NIM589848 NSI589847:NSI589848 OCE589847:OCE589848 OMA589847:OMA589848 OVW589847:OVW589848 PFS589847:PFS589848 PPO589847:PPO589848 PZK589847:PZK589848 QJG589847:QJG589848 QTC589847:QTC589848 RCY589847:RCY589848 RMU589847:RMU589848 RWQ589847:RWQ589848 SGM589847:SGM589848 SQI589847:SQI589848 TAE589847:TAE589848 TKA589847:TKA589848 TTW589847:TTW589848 UDS589847:UDS589848 UNO589847:UNO589848 UXK589847:UXK589848 VHG589847:VHG589848 VRC589847:VRC589848 WAY589847:WAY589848 WKU589847:WKU589848 WUQ589847:WUQ589848 C655383:C655384 IE655383:IE655384 SA655383:SA655384 ABW655383:ABW655384 ALS655383:ALS655384 AVO655383:AVO655384 BFK655383:BFK655384 BPG655383:BPG655384 BZC655383:BZC655384 CIY655383:CIY655384 CSU655383:CSU655384 DCQ655383:DCQ655384 DMM655383:DMM655384 DWI655383:DWI655384 EGE655383:EGE655384 EQA655383:EQA655384 EZW655383:EZW655384 FJS655383:FJS655384 FTO655383:FTO655384 GDK655383:GDK655384 GNG655383:GNG655384 GXC655383:GXC655384 HGY655383:HGY655384 HQU655383:HQU655384 IAQ655383:IAQ655384 IKM655383:IKM655384 IUI655383:IUI655384 JEE655383:JEE655384 JOA655383:JOA655384 JXW655383:JXW655384 KHS655383:KHS655384 KRO655383:KRO655384 LBK655383:LBK655384 LLG655383:LLG655384 LVC655383:LVC655384 MEY655383:MEY655384 MOU655383:MOU655384 MYQ655383:MYQ655384 NIM655383:NIM655384 NSI655383:NSI655384 OCE655383:OCE655384 OMA655383:OMA655384 OVW655383:OVW655384 PFS655383:PFS655384 PPO655383:PPO655384 PZK655383:PZK655384 QJG655383:QJG655384 QTC655383:QTC655384 RCY655383:RCY655384 RMU655383:RMU655384 RWQ655383:RWQ655384 SGM655383:SGM655384 SQI655383:SQI655384 TAE655383:TAE655384 TKA655383:TKA655384 TTW655383:TTW655384 UDS655383:UDS655384 UNO655383:UNO655384 UXK655383:UXK655384 VHG655383:VHG655384 VRC655383:VRC655384 WAY655383:WAY655384 WKU655383:WKU655384 WUQ655383:WUQ655384 C720919:C720920 IE720919:IE720920 SA720919:SA720920 ABW720919:ABW720920 ALS720919:ALS720920 AVO720919:AVO720920 BFK720919:BFK720920 BPG720919:BPG720920 BZC720919:BZC720920 CIY720919:CIY720920 CSU720919:CSU720920 DCQ720919:DCQ720920 DMM720919:DMM720920 DWI720919:DWI720920 EGE720919:EGE720920 EQA720919:EQA720920 EZW720919:EZW720920 FJS720919:FJS720920 FTO720919:FTO720920 GDK720919:GDK720920 GNG720919:GNG720920 GXC720919:GXC720920 HGY720919:HGY720920 HQU720919:HQU720920 IAQ720919:IAQ720920 IKM720919:IKM720920 IUI720919:IUI720920 JEE720919:JEE720920 JOA720919:JOA720920 JXW720919:JXW720920 KHS720919:KHS720920 KRO720919:KRO720920 LBK720919:LBK720920 LLG720919:LLG720920 LVC720919:LVC720920 MEY720919:MEY720920 MOU720919:MOU720920 MYQ720919:MYQ720920 NIM720919:NIM720920 NSI720919:NSI720920 OCE720919:OCE720920 OMA720919:OMA720920 OVW720919:OVW720920 PFS720919:PFS720920 PPO720919:PPO720920 PZK720919:PZK720920 QJG720919:QJG720920 QTC720919:QTC720920 RCY720919:RCY720920 RMU720919:RMU720920 RWQ720919:RWQ720920 SGM720919:SGM720920 SQI720919:SQI720920 TAE720919:TAE720920 TKA720919:TKA720920 TTW720919:TTW720920 UDS720919:UDS720920 UNO720919:UNO720920 UXK720919:UXK720920 VHG720919:VHG720920 VRC720919:VRC720920 WAY720919:WAY720920 WKU720919:WKU720920 WUQ720919:WUQ720920 C786455:C786456 IE786455:IE786456 SA786455:SA786456 ABW786455:ABW786456 ALS786455:ALS786456 AVO786455:AVO786456 BFK786455:BFK786456 BPG786455:BPG786456 BZC786455:BZC786456 CIY786455:CIY786456 CSU786455:CSU786456 DCQ786455:DCQ786456 DMM786455:DMM786456 DWI786455:DWI786456 EGE786455:EGE786456 EQA786455:EQA786456 EZW786455:EZW786456 FJS786455:FJS786456 FTO786455:FTO786456 GDK786455:GDK786456 GNG786455:GNG786456 GXC786455:GXC786456 HGY786455:HGY786456 HQU786455:HQU786456 IAQ786455:IAQ786456 IKM786455:IKM786456 IUI786455:IUI786456 JEE786455:JEE786456 JOA786455:JOA786456 JXW786455:JXW786456 KHS786455:KHS786456 KRO786455:KRO786456 LBK786455:LBK786456 LLG786455:LLG786456 LVC786455:LVC786456 MEY786455:MEY786456 MOU786455:MOU786456 MYQ786455:MYQ786456 NIM786455:NIM786456 NSI786455:NSI786456 OCE786455:OCE786456 OMA786455:OMA786456 OVW786455:OVW786456 PFS786455:PFS786456 PPO786455:PPO786456 PZK786455:PZK786456 QJG786455:QJG786456 QTC786455:QTC786456 RCY786455:RCY786456 RMU786455:RMU786456 RWQ786455:RWQ786456 SGM786455:SGM786456 SQI786455:SQI786456 TAE786455:TAE786456 TKA786455:TKA786456 TTW786455:TTW786456 UDS786455:UDS786456 UNO786455:UNO786456 UXK786455:UXK786456 VHG786455:VHG786456 VRC786455:VRC786456 WAY786455:WAY786456 WKU786455:WKU786456 WUQ786455:WUQ786456 C851991:C851992 IE851991:IE851992 SA851991:SA851992 ABW851991:ABW851992 ALS851991:ALS851992 AVO851991:AVO851992 BFK851991:BFK851992 BPG851991:BPG851992 BZC851991:BZC851992 CIY851991:CIY851992 CSU851991:CSU851992 DCQ851991:DCQ851992 DMM851991:DMM851992 DWI851991:DWI851992 EGE851991:EGE851992 EQA851991:EQA851992 EZW851991:EZW851992 FJS851991:FJS851992 FTO851991:FTO851992 GDK851991:GDK851992 GNG851991:GNG851992 GXC851991:GXC851992 HGY851991:HGY851992 HQU851991:HQU851992 IAQ851991:IAQ851992 IKM851991:IKM851992 IUI851991:IUI851992 JEE851991:JEE851992 JOA851991:JOA851992 JXW851991:JXW851992 KHS851991:KHS851992 KRO851991:KRO851992 LBK851991:LBK851992 LLG851991:LLG851992 LVC851991:LVC851992 MEY851991:MEY851992 MOU851991:MOU851992 MYQ851991:MYQ851992 NIM851991:NIM851992 NSI851991:NSI851992 OCE851991:OCE851992 OMA851991:OMA851992 OVW851991:OVW851992 PFS851991:PFS851992 PPO851991:PPO851992 PZK851991:PZK851992 QJG851991:QJG851992 QTC851991:QTC851992 RCY851991:RCY851992 RMU851991:RMU851992 RWQ851991:RWQ851992 SGM851991:SGM851992 SQI851991:SQI851992 TAE851991:TAE851992 TKA851991:TKA851992 TTW851991:TTW851992 UDS851991:UDS851992 UNO851991:UNO851992 UXK851991:UXK851992 VHG851991:VHG851992 VRC851991:VRC851992 WAY851991:WAY851992 WKU851991:WKU851992 WUQ851991:WUQ851992 C917527:C917528 IE917527:IE917528 SA917527:SA917528 ABW917527:ABW917528 ALS917527:ALS917528 AVO917527:AVO917528 BFK917527:BFK917528 BPG917527:BPG917528 BZC917527:BZC917528 CIY917527:CIY917528 CSU917527:CSU917528 DCQ917527:DCQ917528 DMM917527:DMM917528 DWI917527:DWI917528 EGE917527:EGE917528 EQA917527:EQA917528 EZW917527:EZW917528 FJS917527:FJS917528 FTO917527:FTO917528 GDK917527:GDK917528 GNG917527:GNG917528 GXC917527:GXC917528 HGY917527:HGY917528 HQU917527:HQU917528 IAQ917527:IAQ917528 IKM917527:IKM917528 IUI917527:IUI917528 JEE917527:JEE917528 JOA917527:JOA917528 JXW917527:JXW917528 KHS917527:KHS917528 KRO917527:KRO917528 LBK917527:LBK917528 LLG917527:LLG917528 LVC917527:LVC917528 MEY917527:MEY917528 MOU917527:MOU917528 MYQ917527:MYQ917528 NIM917527:NIM917528 NSI917527:NSI917528 OCE917527:OCE917528 OMA917527:OMA917528 OVW917527:OVW917528 PFS917527:PFS917528 PPO917527:PPO917528 PZK917527:PZK917528 QJG917527:QJG917528 QTC917527:QTC917528 RCY917527:RCY917528 RMU917527:RMU917528 RWQ917527:RWQ917528 SGM917527:SGM917528 SQI917527:SQI917528 TAE917527:TAE917528 TKA917527:TKA917528 TTW917527:TTW917528 UDS917527:UDS917528 UNO917527:UNO917528 UXK917527:UXK917528 VHG917527:VHG917528 VRC917527:VRC917528 WAY917527:WAY917528 WKU917527:WKU917528 WUQ917527:WUQ917528 C983063:C983064 IE983063:IE983064 SA983063:SA983064 ABW983063:ABW983064 ALS983063:ALS983064 AVO983063:AVO983064 BFK983063:BFK983064 BPG983063:BPG983064 BZC983063:BZC983064 CIY983063:CIY983064 CSU983063:CSU983064 DCQ983063:DCQ983064 DMM983063:DMM983064 DWI983063:DWI983064 EGE983063:EGE983064 EQA983063:EQA983064 EZW983063:EZW983064 FJS983063:FJS983064 FTO983063:FTO983064 GDK983063:GDK983064 GNG983063:GNG983064 GXC983063:GXC983064 HGY983063:HGY983064 HQU983063:HQU983064 IAQ983063:IAQ983064 IKM983063:IKM983064 IUI983063:IUI983064 JEE983063:JEE983064 JOA983063:JOA983064 JXW983063:JXW983064 KHS983063:KHS983064 KRO983063:KRO983064 LBK983063:LBK983064 LLG983063:LLG983064 LVC983063:LVC983064 MEY983063:MEY983064 MOU983063:MOU983064 MYQ983063:MYQ983064 NIM983063:NIM983064 NSI983063:NSI983064 OCE983063:OCE983064 OMA983063:OMA983064 OVW983063:OVW983064 PFS983063:PFS983064 PPO983063:PPO983064 PZK983063:PZK983064 QJG983063:QJG983064 QTC983063:QTC983064 RCY983063:RCY983064 RMU983063:RMU983064 RWQ983063:RWQ983064 SGM983063:SGM983064 SQI983063:SQI983064 TAE983063:TAE983064 TKA983063:TKA983064 TTW983063:TTW983064 UDS983063:UDS983064 UNO983063:UNO983064 UXK983063:UXK983064 VHG983063:VHG983064 VRC983063:VRC983064 WAY983063:WAY983064 WKU983063:WKU983064 SA15:SA22 WVB983022:WVB983032 WLF983022:WLF983032 WBJ983022:WBJ983032 VRN983022:VRN983032 VHR983022:VHR983032 UXV983022:UXV983032 UNZ983022:UNZ983032 UED983022:UED983032 TUH983022:TUH983032 TKL983022:TKL983032 TAP983022:TAP983032 SQT983022:SQT983032 SGX983022:SGX983032 RXB983022:RXB983032 RNF983022:RNF983032 RDJ983022:RDJ983032 QTN983022:QTN983032 QJR983022:QJR983032 PZV983022:PZV983032 PPZ983022:PPZ983032 PGD983022:PGD983032 OWH983022:OWH983032 OML983022:OML983032 OCP983022:OCP983032 NST983022:NST983032 NIX983022:NIX983032 MZB983022:MZB983032 MPF983022:MPF983032 MFJ983022:MFJ983032 LVN983022:LVN983032 LLR983022:LLR983032 LBV983022:LBV983032 KRZ983022:KRZ983032 KID983022:KID983032 JYH983022:JYH983032 JOL983022:JOL983032 JEP983022:JEP983032 IUT983022:IUT983032 IKX983022:IKX983032 IBB983022:IBB983032 HRF983022:HRF983032 HHJ983022:HHJ983032 GXN983022:GXN983032 GNR983022:GNR983032 GDV983022:GDV983032 FTZ983022:FTZ983032 FKD983022:FKD983032 FAH983022:FAH983032 EQL983022:EQL983032 EGP983022:EGP983032 DWT983022:DWT983032 DMX983022:DMX983032 DDB983022:DDB983032 CTF983022:CTF983032 CJJ983022:CJJ983032 BZN983022:BZN983032 BPR983022:BPR983032 BFV983022:BFV983032 AVZ983022:AVZ983032 AMD983022:AMD983032 ACH983022:ACH983032 SL983022:SL983032 IP983022:IP983032 WVB917486:WVB917496 WLF917486:WLF917496 WBJ917486:WBJ917496 VRN917486:VRN917496 VHR917486:VHR917496 UXV917486:UXV917496 UNZ917486:UNZ917496 UED917486:UED917496 TUH917486:TUH917496 TKL917486:TKL917496 TAP917486:TAP917496 SQT917486:SQT917496 SGX917486:SGX917496 RXB917486:RXB917496 RNF917486:RNF917496 RDJ917486:RDJ917496 QTN917486:QTN917496 QJR917486:QJR917496 PZV917486:PZV917496 PPZ917486:PPZ917496 PGD917486:PGD917496 OWH917486:OWH917496 OML917486:OML917496 OCP917486:OCP917496 NST917486:NST917496 NIX917486:NIX917496 MZB917486:MZB917496 MPF917486:MPF917496 MFJ917486:MFJ917496 LVN917486:LVN917496 LLR917486:LLR917496 LBV917486:LBV917496 KRZ917486:KRZ917496 KID917486:KID917496 JYH917486:JYH917496 JOL917486:JOL917496 JEP917486:JEP917496 IUT917486:IUT917496 IKX917486:IKX917496 IBB917486:IBB917496 HRF917486:HRF917496 HHJ917486:HHJ917496 GXN917486:GXN917496 GNR917486:GNR917496 GDV917486:GDV917496 FTZ917486:FTZ917496 FKD917486:FKD917496 FAH917486:FAH917496 EQL917486:EQL917496 EGP917486:EGP917496 DWT917486:DWT917496 DMX917486:DMX917496 DDB917486:DDB917496 CTF917486:CTF917496 CJJ917486:CJJ917496 BZN917486:BZN917496 BPR917486:BPR917496 BFV917486:BFV917496 AVZ917486:AVZ917496 AMD917486:AMD917496 ACH917486:ACH917496 SL917486:SL917496 IP917486:IP917496 WVB851950:WVB851960 WLF851950:WLF851960 WBJ851950:WBJ851960 VRN851950:VRN851960 VHR851950:VHR851960 UXV851950:UXV851960 UNZ851950:UNZ851960 UED851950:UED851960 TUH851950:TUH851960 TKL851950:TKL851960 TAP851950:TAP851960 SQT851950:SQT851960 SGX851950:SGX851960 RXB851950:RXB851960 RNF851950:RNF851960 RDJ851950:RDJ851960 QTN851950:QTN851960 QJR851950:QJR851960 PZV851950:PZV851960 PPZ851950:PPZ851960 PGD851950:PGD851960 OWH851950:OWH851960 OML851950:OML851960 OCP851950:OCP851960 NST851950:NST851960 NIX851950:NIX851960 MZB851950:MZB851960 MPF851950:MPF851960 MFJ851950:MFJ851960 LVN851950:LVN851960 LLR851950:LLR851960 LBV851950:LBV851960 KRZ851950:KRZ851960 KID851950:KID851960 JYH851950:JYH851960 JOL851950:JOL851960 JEP851950:JEP851960 IUT851950:IUT851960 IKX851950:IKX851960 IBB851950:IBB851960 HRF851950:HRF851960 HHJ851950:HHJ851960 GXN851950:GXN851960 GNR851950:GNR851960 GDV851950:GDV851960 FTZ851950:FTZ851960 FKD851950:FKD851960 FAH851950:FAH851960 EQL851950:EQL851960 EGP851950:EGP851960 DWT851950:DWT851960 DMX851950:DMX851960 DDB851950:DDB851960 CTF851950:CTF851960 CJJ851950:CJJ851960 BZN851950:BZN851960 BPR851950:BPR851960 BFV851950:BFV851960 AVZ851950:AVZ851960 AMD851950:AMD851960 ACH851950:ACH851960 SL851950:SL851960 IP851950:IP851960 WVB786414:WVB786424 WLF786414:WLF786424 WBJ786414:WBJ786424 VRN786414:VRN786424 VHR786414:VHR786424 UXV786414:UXV786424 UNZ786414:UNZ786424 UED786414:UED786424 TUH786414:TUH786424 TKL786414:TKL786424 TAP786414:TAP786424 SQT786414:SQT786424 SGX786414:SGX786424 RXB786414:RXB786424 RNF786414:RNF786424 RDJ786414:RDJ786424 QTN786414:QTN786424 QJR786414:QJR786424 PZV786414:PZV786424 PPZ786414:PPZ786424 PGD786414:PGD786424 OWH786414:OWH786424 OML786414:OML786424 OCP786414:OCP786424 NST786414:NST786424 NIX786414:NIX786424 MZB786414:MZB786424 MPF786414:MPF786424 MFJ786414:MFJ786424 LVN786414:LVN786424 LLR786414:LLR786424 LBV786414:LBV786424 KRZ786414:KRZ786424 KID786414:KID786424 JYH786414:JYH786424 JOL786414:JOL786424 JEP786414:JEP786424 IUT786414:IUT786424 IKX786414:IKX786424 IBB786414:IBB786424 HRF786414:HRF786424 HHJ786414:HHJ786424 GXN786414:GXN786424 GNR786414:GNR786424 GDV786414:GDV786424 FTZ786414:FTZ786424 FKD786414:FKD786424 FAH786414:FAH786424 EQL786414:EQL786424 EGP786414:EGP786424 DWT786414:DWT786424 DMX786414:DMX786424 DDB786414:DDB786424 CTF786414:CTF786424 CJJ786414:CJJ786424 BZN786414:BZN786424 BPR786414:BPR786424 BFV786414:BFV786424 AVZ786414:AVZ786424 AMD786414:AMD786424 ACH786414:ACH786424 SL786414:SL786424 IP786414:IP786424 WVB720878:WVB720888 WLF720878:WLF720888 WBJ720878:WBJ720888 VRN720878:VRN720888 VHR720878:VHR720888 UXV720878:UXV720888 UNZ720878:UNZ720888 UED720878:UED720888 TUH720878:TUH720888 TKL720878:TKL720888 TAP720878:TAP720888 SQT720878:SQT720888 SGX720878:SGX720888 RXB720878:RXB720888 RNF720878:RNF720888 RDJ720878:RDJ720888 QTN720878:QTN720888 QJR720878:QJR720888 PZV720878:PZV720888 PPZ720878:PPZ720888 PGD720878:PGD720888 OWH720878:OWH720888 OML720878:OML720888 OCP720878:OCP720888 NST720878:NST720888 NIX720878:NIX720888 MZB720878:MZB720888 MPF720878:MPF720888 MFJ720878:MFJ720888 LVN720878:LVN720888 LLR720878:LLR720888 LBV720878:LBV720888 KRZ720878:KRZ720888 KID720878:KID720888 JYH720878:JYH720888 JOL720878:JOL720888 JEP720878:JEP720888 IUT720878:IUT720888 IKX720878:IKX720888 IBB720878:IBB720888 HRF720878:HRF720888 HHJ720878:HHJ720888 GXN720878:GXN720888 GNR720878:GNR720888 GDV720878:GDV720888 FTZ720878:FTZ720888 FKD720878:FKD720888 FAH720878:FAH720888 EQL720878:EQL720888 EGP720878:EGP720888 DWT720878:DWT720888 DMX720878:DMX720888 DDB720878:DDB720888 CTF720878:CTF720888 CJJ720878:CJJ720888 BZN720878:BZN720888 BPR720878:BPR720888 BFV720878:BFV720888 AVZ720878:AVZ720888 AMD720878:AMD720888 ACH720878:ACH720888 SL720878:SL720888 IP720878:IP720888 WVB655342:WVB655352 WLF655342:WLF655352 WBJ655342:WBJ655352 VRN655342:VRN655352 VHR655342:VHR655352 UXV655342:UXV655352 UNZ655342:UNZ655352 UED655342:UED655352 TUH655342:TUH655352 TKL655342:TKL655352 TAP655342:TAP655352 SQT655342:SQT655352 SGX655342:SGX655352 RXB655342:RXB655352 RNF655342:RNF655352 RDJ655342:RDJ655352 QTN655342:QTN655352 QJR655342:QJR655352 PZV655342:PZV655352 PPZ655342:PPZ655352 PGD655342:PGD655352 OWH655342:OWH655352 OML655342:OML655352 OCP655342:OCP655352 NST655342:NST655352 NIX655342:NIX655352 MZB655342:MZB655352 MPF655342:MPF655352 MFJ655342:MFJ655352 LVN655342:LVN655352 LLR655342:LLR655352 LBV655342:LBV655352 KRZ655342:KRZ655352 KID655342:KID655352 JYH655342:JYH655352 JOL655342:JOL655352 JEP655342:JEP655352 IUT655342:IUT655352 IKX655342:IKX655352 IBB655342:IBB655352 HRF655342:HRF655352 HHJ655342:HHJ655352 GXN655342:GXN655352 GNR655342:GNR655352 GDV655342:GDV655352 FTZ655342:FTZ655352 FKD655342:FKD655352 FAH655342:FAH655352 EQL655342:EQL655352 EGP655342:EGP655352 DWT655342:DWT655352 DMX655342:DMX655352 DDB655342:DDB655352 CTF655342:CTF655352 CJJ655342:CJJ655352 BZN655342:BZN655352 BPR655342:BPR655352 BFV655342:BFV655352 AVZ655342:AVZ655352 AMD655342:AMD655352 ACH655342:ACH655352 SL655342:SL655352 IP655342:IP655352 WVB589806:WVB589816 WLF589806:WLF589816 WBJ589806:WBJ589816 VRN589806:VRN589816 VHR589806:VHR589816 UXV589806:UXV589816 UNZ589806:UNZ589816 UED589806:UED589816 TUH589806:TUH589816 TKL589806:TKL589816 TAP589806:TAP589816 SQT589806:SQT589816 SGX589806:SGX589816 RXB589806:RXB589816 RNF589806:RNF589816 RDJ589806:RDJ589816 QTN589806:QTN589816 QJR589806:QJR589816 PZV589806:PZV589816 PPZ589806:PPZ589816 PGD589806:PGD589816 OWH589806:OWH589816 OML589806:OML589816 OCP589806:OCP589816 NST589806:NST589816 NIX589806:NIX589816 MZB589806:MZB589816 MPF589806:MPF589816 MFJ589806:MFJ589816 LVN589806:LVN589816 LLR589806:LLR589816 LBV589806:LBV589816 KRZ589806:KRZ589816 KID589806:KID589816 JYH589806:JYH589816 JOL589806:JOL589816 JEP589806:JEP589816 IUT589806:IUT589816 IKX589806:IKX589816 IBB589806:IBB589816 HRF589806:HRF589816 HHJ589806:HHJ589816 GXN589806:GXN589816 GNR589806:GNR589816 GDV589806:GDV589816 FTZ589806:FTZ589816 FKD589806:FKD589816 FAH589806:FAH589816 EQL589806:EQL589816 EGP589806:EGP589816 DWT589806:DWT589816 DMX589806:DMX589816 DDB589806:DDB589816 CTF589806:CTF589816 CJJ589806:CJJ589816 BZN589806:BZN589816 BPR589806:BPR589816 BFV589806:BFV589816 AVZ589806:AVZ589816 AMD589806:AMD589816 ACH589806:ACH589816 SL589806:SL589816 IP589806:IP589816 WVB524270:WVB524280 WLF524270:WLF524280 WBJ524270:WBJ524280 VRN524270:VRN524280 VHR524270:VHR524280 UXV524270:UXV524280 UNZ524270:UNZ524280 UED524270:UED524280 TUH524270:TUH524280 TKL524270:TKL524280 TAP524270:TAP524280 SQT524270:SQT524280 SGX524270:SGX524280 RXB524270:RXB524280 RNF524270:RNF524280 RDJ524270:RDJ524280 QTN524270:QTN524280 QJR524270:QJR524280 PZV524270:PZV524280 PPZ524270:PPZ524280 PGD524270:PGD524280 OWH524270:OWH524280 OML524270:OML524280 OCP524270:OCP524280 NST524270:NST524280 NIX524270:NIX524280 MZB524270:MZB524280 MPF524270:MPF524280 MFJ524270:MFJ524280 LVN524270:LVN524280 LLR524270:LLR524280 LBV524270:LBV524280 KRZ524270:KRZ524280 KID524270:KID524280 JYH524270:JYH524280 JOL524270:JOL524280 JEP524270:JEP524280 IUT524270:IUT524280 IKX524270:IKX524280 IBB524270:IBB524280 HRF524270:HRF524280 HHJ524270:HHJ524280 GXN524270:GXN524280 GNR524270:GNR524280 GDV524270:GDV524280 FTZ524270:FTZ524280 FKD524270:FKD524280 FAH524270:FAH524280 EQL524270:EQL524280 EGP524270:EGP524280 DWT524270:DWT524280 DMX524270:DMX524280 DDB524270:DDB524280 CTF524270:CTF524280 CJJ524270:CJJ524280 BZN524270:BZN524280 BPR524270:BPR524280 BFV524270:BFV524280 AVZ524270:AVZ524280 AMD524270:AMD524280 ACH524270:ACH524280 SL524270:SL524280 IP524270:IP524280 WVB458734:WVB458744 WLF458734:WLF458744 WBJ458734:WBJ458744 VRN458734:VRN458744 VHR458734:VHR458744 UXV458734:UXV458744 UNZ458734:UNZ458744 UED458734:UED458744 TUH458734:TUH458744 TKL458734:TKL458744 TAP458734:TAP458744 SQT458734:SQT458744 SGX458734:SGX458744 RXB458734:RXB458744 RNF458734:RNF458744 RDJ458734:RDJ458744 QTN458734:QTN458744 QJR458734:QJR458744 PZV458734:PZV458744 PPZ458734:PPZ458744 PGD458734:PGD458744 OWH458734:OWH458744 OML458734:OML458744 OCP458734:OCP458744 NST458734:NST458744 NIX458734:NIX458744 MZB458734:MZB458744 MPF458734:MPF458744 MFJ458734:MFJ458744 LVN458734:LVN458744 LLR458734:LLR458744 LBV458734:LBV458744 KRZ458734:KRZ458744 KID458734:KID458744 JYH458734:JYH458744 JOL458734:JOL458744 JEP458734:JEP458744 IUT458734:IUT458744 IKX458734:IKX458744 IBB458734:IBB458744 HRF458734:HRF458744 HHJ458734:HHJ458744 GXN458734:GXN458744 GNR458734:GNR458744 GDV458734:GDV458744 FTZ458734:FTZ458744 FKD458734:FKD458744 FAH458734:FAH458744 EQL458734:EQL458744 EGP458734:EGP458744 DWT458734:DWT458744 DMX458734:DMX458744 DDB458734:DDB458744 CTF458734:CTF458744 CJJ458734:CJJ458744 BZN458734:BZN458744 BPR458734:BPR458744 BFV458734:BFV458744 AVZ458734:AVZ458744 AMD458734:AMD458744 ACH458734:ACH458744 SL458734:SL458744 IP458734:IP458744 WVB393198:WVB393208 WLF393198:WLF393208 WBJ393198:WBJ393208 VRN393198:VRN393208 VHR393198:VHR393208 UXV393198:UXV393208 UNZ393198:UNZ393208 UED393198:UED393208 TUH393198:TUH393208 TKL393198:TKL393208 TAP393198:TAP393208 SQT393198:SQT393208 SGX393198:SGX393208 RXB393198:RXB393208 RNF393198:RNF393208 RDJ393198:RDJ393208 QTN393198:QTN393208 QJR393198:QJR393208 PZV393198:PZV393208 PPZ393198:PPZ393208 PGD393198:PGD393208 OWH393198:OWH393208 OML393198:OML393208 OCP393198:OCP393208 NST393198:NST393208 NIX393198:NIX393208 MZB393198:MZB393208 MPF393198:MPF393208 MFJ393198:MFJ393208 LVN393198:LVN393208 LLR393198:LLR393208 LBV393198:LBV393208 KRZ393198:KRZ393208 KID393198:KID393208 JYH393198:JYH393208 JOL393198:JOL393208 JEP393198:JEP393208 IUT393198:IUT393208 IKX393198:IKX393208 IBB393198:IBB393208 HRF393198:HRF393208 HHJ393198:HHJ393208 GXN393198:GXN393208 GNR393198:GNR393208 GDV393198:GDV393208 FTZ393198:FTZ393208 FKD393198:FKD393208 FAH393198:FAH393208 EQL393198:EQL393208 EGP393198:EGP393208 DWT393198:DWT393208 DMX393198:DMX393208 DDB393198:DDB393208 CTF393198:CTF393208 CJJ393198:CJJ393208 BZN393198:BZN393208 BPR393198:BPR393208 BFV393198:BFV393208 AVZ393198:AVZ393208 AMD393198:AMD393208 ACH393198:ACH393208 SL393198:SL393208 IP393198:IP393208 WVB327662:WVB327672 WLF327662:WLF327672 WBJ327662:WBJ327672 VRN327662:VRN327672 VHR327662:VHR327672 UXV327662:UXV327672 UNZ327662:UNZ327672 UED327662:UED327672 TUH327662:TUH327672 TKL327662:TKL327672 TAP327662:TAP327672 SQT327662:SQT327672 SGX327662:SGX327672 RXB327662:RXB327672 RNF327662:RNF327672 RDJ327662:RDJ327672 QTN327662:QTN327672 QJR327662:QJR327672 PZV327662:PZV327672 PPZ327662:PPZ327672 PGD327662:PGD327672 OWH327662:OWH327672 OML327662:OML327672 OCP327662:OCP327672 NST327662:NST327672 NIX327662:NIX327672 MZB327662:MZB327672 MPF327662:MPF327672 MFJ327662:MFJ327672 LVN327662:LVN327672 LLR327662:LLR327672 LBV327662:LBV327672 KRZ327662:KRZ327672 KID327662:KID327672 JYH327662:JYH327672 JOL327662:JOL327672 JEP327662:JEP327672 IUT327662:IUT327672 IKX327662:IKX327672 IBB327662:IBB327672 HRF327662:HRF327672 HHJ327662:HHJ327672 GXN327662:GXN327672 GNR327662:GNR327672 GDV327662:GDV327672 FTZ327662:FTZ327672 FKD327662:FKD327672 FAH327662:FAH327672 EQL327662:EQL327672 EGP327662:EGP327672 DWT327662:DWT327672 DMX327662:DMX327672 DDB327662:DDB327672 CTF327662:CTF327672 CJJ327662:CJJ327672 BZN327662:BZN327672 BPR327662:BPR327672 BFV327662:BFV327672 AVZ327662:AVZ327672 AMD327662:AMD327672 ACH327662:ACH327672 SL327662:SL327672 IP327662:IP327672 WVB262126:WVB262136 WLF262126:WLF262136 WBJ262126:WBJ262136 VRN262126:VRN262136 VHR262126:VHR262136 UXV262126:UXV262136 UNZ262126:UNZ262136 UED262126:UED262136 TUH262126:TUH262136 TKL262126:TKL262136 TAP262126:TAP262136 SQT262126:SQT262136 SGX262126:SGX262136 RXB262126:RXB262136 RNF262126:RNF262136 RDJ262126:RDJ262136 QTN262126:QTN262136 QJR262126:QJR262136 PZV262126:PZV262136 PPZ262126:PPZ262136 PGD262126:PGD262136 OWH262126:OWH262136 OML262126:OML262136 OCP262126:OCP262136 NST262126:NST262136 NIX262126:NIX262136 MZB262126:MZB262136 MPF262126:MPF262136 MFJ262126:MFJ262136 LVN262126:LVN262136 LLR262126:LLR262136 LBV262126:LBV262136 KRZ262126:KRZ262136 KID262126:KID262136 JYH262126:JYH262136 JOL262126:JOL262136 JEP262126:JEP262136 IUT262126:IUT262136 IKX262126:IKX262136 IBB262126:IBB262136 HRF262126:HRF262136 HHJ262126:HHJ262136 GXN262126:GXN262136 GNR262126:GNR262136 GDV262126:GDV262136 FTZ262126:FTZ262136 FKD262126:FKD262136 FAH262126:FAH262136 EQL262126:EQL262136 EGP262126:EGP262136 DWT262126:DWT262136 DMX262126:DMX262136 DDB262126:DDB262136 CTF262126:CTF262136 CJJ262126:CJJ262136 BZN262126:BZN262136 BPR262126:BPR262136 BFV262126:BFV262136 AVZ262126:AVZ262136 AMD262126:AMD262136 ACH262126:ACH262136 SL262126:SL262136 IP262126:IP262136 WVB196590:WVB196600 WLF196590:WLF196600 WBJ196590:WBJ196600 VRN196590:VRN196600 VHR196590:VHR196600 UXV196590:UXV196600 UNZ196590:UNZ196600 UED196590:UED196600 TUH196590:TUH196600 TKL196590:TKL196600 TAP196590:TAP196600 SQT196590:SQT196600 SGX196590:SGX196600 RXB196590:RXB196600 RNF196590:RNF196600 RDJ196590:RDJ196600 QTN196590:QTN196600 QJR196590:QJR196600 PZV196590:PZV196600 PPZ196590:PPZ196600 PGD196590:PGD196600 OWH196590:OWH196600 OML196590:OML196600 OCP196590:OCP196600 NST196590:NST196600 NIX196590:NIX196600 MZB196590:MZB196600 MPF196590:MPF196600 MFJ196590:MFJ196600 LVN196590:LVN196600 LLR196590:LLR196600 LBV196590:LBV196600 KRZ196590:KRZ196600 KID196590:KID196600 JYH196590:JYH196600 JOL196590:JOL196600 JEP196590:JEP196600 IUT196590:IUT196600 IKX196590:IKX196600 IBB196590:IBB196600 HRF196590:HRF196600 HHJ196590:HHJ196600 GXN196590:GXN196600 GNR196590:GNR196600 GDV196590:GDV196600 FTZ196590:FTZ196600 FKD196590:FKD196600 FAH196590:FAH196600 EQL196590:EQL196600 EGP196590:EGP196600 DWT196590:DWT196600 DMX196590:DMX196600 DDB196590:DDB196600 CTF196590:CTF196600 CJJ196590:CJJ196600 BZN196590:BZN196600 BPR196590:BPR196600 BFV196590:BFV196600 AVZ196590:AVZ196600 AMD196590:AMD196600 ACH196590:ACH196600 SL196590:SL196600 IP196590:IP196600 WVB131054:WVB131064 WLF131054:WLF131064 WBJ131054:WBJ131064 VRN131054:VRN131064 VHR131054:VHR131064 UXV131054:UXV131064 UNZ131054:UNZ131064 UED131054:UED131064 TUH131054:TUH131064 TKL131054:TKL131064 TAP131054:TAP131064 SQT131054:SQT131064 SGX131054:SGX131064 RXB131054:RXB131064 RNF131054:RNF131064 RDJ131054:RDJ131064 QTN131054:QTN131064 QJR131054:QJR131064 PZV131054:PZV131064 PPZ131054:PPZ131064 PGD131054:PGD131064 OWH131054:OWH131064 OML131054:OML131064 OCP131054:OCP131064 NST131054:NST131064 NIX131054:NIX131064 MZB131054:MZB131064 MPF131054:MPF131064 MFJ131054:MFJ131064 LVN131054:LVN131064 LLR131054:LLR131064 LBV131054:LBV131064 KRZ131054:KRZ131064 KID131054:KID131064 JYH131054:JYH131064 JOL131054:JOL131064 JEP131054:JEP131064 IUT131054:IUT131064 IKX131054:IKX131064 IBB131054:IBB131064 HRF131054:HRF131064 HHJ131054:HHJ131064 GXN131054:GXN131064 GNR131054:GNR131064 GDV131054:GDV131064 FTZ131054:FTZ131064 FKD131054:FKD131064 FAH131054:FAH131064 EQL131054:EQL131064 EGP131054:EGP131064 DWT131054:DWT131064 DMX131054:DMX131064 DDB131054:DDB131064 CTF131054:CTF131064 CJJ131054:CJJ131064 BZN131054:BZN131064 BPR131054:BPR131064 BFV131054:BFV131064 AVZ131054:AVZ131064 AMD131054:AMD131064 ACH131054:ACH131064 SL131054:SL131064 IP131054:IP131064 WVB65518:WVB65528 WLF65518:WLF65528 WBJ65518:WBJ65528 VRN65518:VRN65528 VHR65518:VHR65528 UXV65518:UXV65528 UNZ65518:UNZ65528 UED65518:UED65528 TUH65518:TUH65528 TKL65518:TKL65528 TAP65518:TAP65528 SQT65518:SQT65528 SGX65518:SGX65528 RXB65518:RXB65528 RNF65518:RNF65528 RDJ65518:RDJ65528 QTN65518:QTN65528 QJR65518:QJR65528 PZV65518:PZV65528 PPZ65518:PPZ65528 PGD65518:PGD65528 OWH65518:OWH65528 OML65518:OML65528 OCP65518:OCP65528 NST65518:NST65528 NIX65518:NIX65528 MZB65518:MZB65528 MPF65518:MPF65528 MFJ65518:MFJ65528 LVN65518:LVN65528 LLR65518:LLR65528 LBV65518:LBV65528 KRZ65518:KRZ65528 KID65518:KID65528 JYH65518:JYH65528 JOL65518:JOL65528 JEP65518:JEP65528 IUT65518:IUT65528 IKX65518:IKX65528 IBB65518:IBB65528 HRF65518:HRF65528 HHJ65518:HHJ65528 GXN65518:GXN65528 GNR65518:GNR65528 GDV65518:GDV65528 FTZ65518:FTZ65528 FKD65518:FKD65528 FAH65518:FAH65528 EQL65518:EQL65528 EGP65518:EGP65528 DWT65518:DWT65528 DMX65518:DMX65528 DDB65518:DDB65528 CTF65518:CTF65528 CJJ65518:CJJ65528 BZN65518:BZN65528 BPR65518:BPR65528 BFV65518:BFV65528 AVZ65518:AVZ65528 AMD65518:AMD65528 ACH65518:ACH65528 SL65518:SL65528 IP65518:IP65528 WUQ983037:WUQ983045 WKU983037:WKU983045 WAY983037:WAY983045 VRC983037:VRC983045 VHG983037:VHG983045 UXK983037:UXK983045 UNO983037:UNO983045 UDS983037:UDS983045 TTW983037:TTW983045 TKA983037:TKA983045 TAE983037:TAE983045 SQI983037:SQI983045 SGM983037:SGM983045 RWQ983037:RWQ983045 RMU983037:RMU983045 RCY983037:RCY983045 QTC983037:QTC983045 QJG983037:QJG983045 PZK983037:PZK983045 PPO983037:PPO983045 PFS983037:PFS983045 OVW983037:OVW983045 OMA983037:OMA983045 OCE983037:OCE983045 NSI983037:NSI983045 NIM983037:NIM983045 MYQ983037:MYQ983045 MOU983037:MOU983045 MEY983037:MEY983045 LVC983037:LVC983045 LLG983037:LLG983045 LBK983037:LBK983045 KRO983037:KRO983045 KHS983037:KHS983045 JXW983037:JXW983045 JOA983037:JOA983045 JEE983037:JEE983045 IUI983037:IUI983045 IKM983037:IKM983045 IAQ983037:IAQ983045 HQU983037:HQU983045 HGY983037:HGY983045 GXC983037:GXC983045 GNG983037:GNG983045 GDK983037:GDK983045 FTO983037:FTO983045 FJS983037:FJS983045 EZW983037:EZW983045 EQA983037:EQA983045 EGE983037:EGE983045 DWI983037:DWI983045 DMM983037:DMM983045 DCQ983037:DCQ983045 CSU983037:CSU983045 CIY983037:CIY983045 BZC983037:BZC983045 BPG983037:BPG983045 BFK983037:BFK983045 AVO983037:AVO983045 ALS983037:ALS983045 ABW983037:ABW983045 SA983037:SA983045 IE983037:IE983045 C983037:C983045 WUQ917501:WUQ917509 WKU917501:WKU917509 WAY917501:WAY917509 VRC917501:VRC917509 VHG917501:VHG917509 UXK917501:UXK917509 UNO917501:UNO917509 UDS917501:UDS917509 TTW917501:TTW917509 TKA917501:TKA917509 TAE917501:TAE917509 SQI917501:SQI917509 SGM917501:SGM917509 RWQ917501:RWQ917509 RMU917501:RMU917509 RCY917501:RCY917509 QTC917501:QTC917509 QJG917501:QJG917509 PZK917501:PZK917509 PPO917501:PPO917509 PFS917501:PFS917509 OVW917501:OVW917509 OMA917501:OMA917509 OCE917501:OCE917509 NSI917501:NSI917509 NIM917501:NIM917509 MYQ917501:MYQ917509 MOU917501:MOU917509 MEY917501:MEY917509 LVC917501:LVC917509 LLG917501:LLG917509 LBK917501:LBK917509 KRO917501:KRO917509 KHS917501:KHS917509 JXW917501:JXW917509 JOA917501:JOA917509 JEE917501:JEE917509 IUI917501:IUI917509 IKM917501:IKM917509 IAQ917501:IAQ917509 HQU917501:HQU917509 HGY917501:HGY917509 GXC917501:GXC917509 GNG917501:GNG917509 GDK917501:GDK917509 FTO917501:FTO917509 FJS917501:FJS917509 EZW917501:EZW917509 EQA917501:EQA917509 EGE917501:EGE917509 DWI917501:DWI917509 DMM917501:DMM917509 DCQ917501:DCQ917509 CSU917501:CSU917509 CIY917501:CIY917509 BZC917501:BZC917509 BPG917501:BPG917509 BFK917501:BFK917509 AVO917501:AVO917509 ALS917501:ALS917509 ABW917501:ABW917509 SA917501:SA917509 IE917501:IE917509 C917501:C917509 WUQ851965:WUQ851973 WKU851965:WKU851973 WAY851965:WAY851973 VRC851965:VRC851973 VHG851965:VHG851973 UXK851965:UXK851973 UNO851965:UNO851973 UDS851965:UDS851973 TTW851965:TTW851973 TKA851965:TKA851973 TAE851965:TAE851973 SQI851965:SQI851973 SGM851965:SGM851973 RWQ851965:RWQ851973 RMU851965:RMU851973 RCY851965:RCY851973 QTC851965:QTC851973 QJG851965:QJG851973 PZK851965:PZK851973 PPO851965:PPO851973 PFS851965:PFS851973 OVW851965:OVW851973 OMA851965:OMA851973 OCE851965:OCE851973 NSI851965:NSI851973 NIM851965:NIM851973 MYQ851965:MYQ851973 MOU851965:MOU851973 MEY851965:MEY851973 LVC851965:LVC851973 LLG851965:LLG851973 LBK851965:LBK851973 KRO851965:KRO851973 KHS851965:KHS851973 JXW851965:JXW851973 JOA851965:JOA851973 JEE851965:JEE851973 IUI851965:IUI851973 IKM851965:IKM851973 IAQ851965:IAQ851973 HQU851965:HQU851973 HGY851965:HGY851973 GXC851965:GXC851973 GNG851965:GNG851973 GDK851965:GDK851973 FTO851965:FTO851973 FJS851965:FJS851973 EZW851965:EZW851973 EQA851965:EQA851973 EGE851965:EGE851973 DWI851965:DWI851973 DMM851965:DMM851973 DCQ851965:DCQ851973 CSU851965:CSU851973 CIY851965:CIY851973 BZC851965:BZC851973 BPG851965:BPG851973 BFK851965:BFK851973 AVO851965:AVO851973 ALS851965:ALS851973 ABW851965:ABW851973 SA851965:SA851973 IE851965:IE851973 C851965:C851973 WUQ786429:WUQ786437 WKU786429:WKU786437 WAY786429:WAY786437 VRC786429:VRC786437 VHG786429:VHG786437 UXK786429:UXK786437 UNO786429:UNO786437 UDS786429:UDS786437 TTW786429:TTW786437 TKA786429:TKA786437 TAE786429:TAE786437 SQI786429:SQI786437 SGM786429:SGM786437 RWQ786429:RWQ786437 RMU786429:RMU786437 RCY786429:RCY786437 QTC786429:QTC786437 QJG786429:QJG786437 PZK786429:PZK786437 PPO786429:PPO786437 PFS786429:PFS786437 OVW786429:OVW786437 OMA786429:OMA786437 OCE786429:OCE786437 NSI786429:NSI786437 NIM786429:NIM786437 MYQ786429:MYQ786437 MOU786429:MOU786437 MEY786429:MEY786437 LVC786429:LVC786437 LLG786429:LLG786437 LBK786429:LBK786437 KRO786429:KRO786437 KHS786429:KHS786437 JXW786429:JXW786437 JOA786429:JOA786437 JEE786429:JEE786437 IUI786429:IUI786437 IKM786429:IKM786437 IAQ786429:IAQ786437 HQU786429:HQU786437 HGY786429:HGY786437 GXC786429:GXC786437 GNG786429:GNG786437 GDK786429:GDK786437 FTO786429:FTO786437 FJS786429:FJS786437 EZW786429:EZW786437 EQA786429:EQA786437 EGE786429:EGE786437 DWI786429:DWI786437 DMM786429:DMM786437 DCQ786429:DCQ786437 CSU786429:CSU786437 CIY786429:CIY786437 BZC786429:BZC786437 BPG786429:BPG786437 BFK786429:BFK786437 AVO786429:AVO786437 ALS786429:ALS786437 ABW786429:ABW786437 SA786429:SA786437 IE786429:IE786437 C786429:C786437 WUQ720893:WUQ720901 WKU720893:WKU720901 WAY720893:WAY720901 VRC720893:VRC720901 VHG720893:VHG720901 UXK720893:UXK720901 UNO720893:UNO720901 UDS720893:UDS720901 TTW720893:TTW720901 TKA720893:TKA720901 TAE720893:TAE720901 SQI720893:SQI720901 SGM720893:SGM720901 RWQ720893:RWQ720901 RMU720893:RMU720901 RCY720893:RCY720901 QTC720893:QTC720901 QJG720893:QJG720901 PZK720893:PZK720901 PPO720893:PPO720901 PFS720893:PFS720901 OVW720893:OVW720901 OMA720893:OMA720901 OCE720893:OCE720901 NSI720893:NSI720901 NIM720893:NIM720901 MYQ720893:MYQ720901 MOU720893:MOU720901 MEY720893:MEY720901 LVC720893:LVC720901 LLG720893:LLG720901 LBK720893:LBK720901 KRO720893:KRO720901 KHS720893:KHS720901 JXW720893:JXW720901 JOA720893:JOA720901 JEE720893:JEE720901 IUI720893:IUI720901 IKM720893:IKM720901 IAQ720893:IAQ720901 HQU720893:HQU720901 HGY720893:HGY720901 GXC720893:GXC720901 GNG720893:GNG720901 GDK720893:GDK720901 FTO720893:FTO720901 FJS720893:FJS720901 EZW720893:EZW720901 EQA720893:EQA720901 EGE720893:EGE720901 DWI720893:DWI720901 DMM720893:DMM720901 DCQ720893:DCQ720901 CSU720893:CSU720901 CIY720893:CIY720901 BZC720893:BZC720901 BPG720893:BPG720901 BFK720893:BFK720901 AVO720893:AVO720901 ALS720893:ALS720901 ABW720893:ABW720901 SA720893:SA720901 IE720893:IE720901 C720893:C720901 WUQ655357:WUQ655365 WKU655357:WKU655365 WAY655357:WAY655365 VRC655357:VRC655365 VHG655357:VHG655365 UXK655357:UXK655365 UNO655357:UNO655365 UDS655357:UDS655365 TTW655357:TTW655365 TKA655357:TKA655365 TAE655357:TAE655365 SQI655357:SQI655365 SGM655357:SGM655365 RWQ655357:RWQ655365 RMU655357:RMU655365 RCY655357:RCY655365 QTC655357:QTC655365 QJG655357:QJG655365 PZK655357:PZK655365 PPO655357:PPO655365 PFS655357:PFS655365 OVW655357:OVW655365 OMA655357:OMA655365 OCE655357:OCE655365 NSI655357:NSI655365 NIM655357:NIM655365 MYQ655357:MYQ655365 MOU655357:MOU655365 MEY655357:MEY655365 LVC655357:LVC655365 LLG655357:LLG655365 LBK655357:LBK655365 KRO655357:KRO655365 KHS655357:KHS655365 JXW655357:JXW655365 JOA655357:JOA655365 JEE655357:JEE655365 IUI655357:IUI655365 IKM655357:IKM655365 IAQ655357:IAQ655365 HQU655357:HQU655365 HGY655357:HGY655365 GXC655357:GXC655365 GNG655357:GNG655365 GDK655357:GDK655365 FTO655357:FTO655365 FJS655357:FJS655365 EZW655357:EZW655365 EQA655357:EQA655365 EGE655357:EGE655365 DWI655357:DWI655365 DMM655357:DMM655365 DCQ655357:DCQ655365 CSU655357:CSU655365 CIY655357:CIY655365 BZC655357:BZC655365 BPG655357:BPG655365 BFK655357:BFK655365 AVO655357:AVO655365 ALS655357:ALS655365 ABW655357:ABW655365 SA655357:SA655365 IE655357:IE655365 C655357:C655365 WUQ589821:WUQ589829 WKU589821:WKU589829 WAY589821:WAY589829 VRC589821:VRC589829 VHG589821:VHG589829 UXK589821:UXK589829 UNO589821:UNO589829 UDS589821:UDS589829 TTW589821:TTW589829 TKA589821:TKA589829 TAE589821:TAE589829 SQI589821:SQI589829 SGM589821:SGM589829 RWQ589821:RWQ589829 RMU589821:RMU589829 RCY589821:RCY589829 QTC589821:QTC589829 QJG589821:QJG589829 PZK589821:PZK589829 PPO589821:PPO589829 PFS589821:PFS589829 OVW589821:OVW589829 OMA589821:OMA589829 OCE589821:OCE589829 NSI589821:NSI589829 NIM589821:NIM589829 MYQ589821:MYQ589829 MOU589821:MOU589829 MEY589821:MEY589829 LVC589821:LVC589829 LLG589821:LLG589829 LBK589821:LBK589829 KRO589821:KRO589829 KHS589821:KHS589829 JXW589821:JXW589829 JOA589821:JOA589829 JEE589821:JEE589829 IUI589821:IUI589829 IKM589821:IKM589829 IAQ589821:IAQ589829 HQU589821:HQU589829 HGY589821:HGY589829 GXC589821:GXC589829 GNG589821:GNG589829 GDK589821:GDK589829 FTO589821:FTO589829 FJS589821:FJS589829 EZW589821:EZW589829 EQA589821:EQA589829 EGE589821:EGE589829 DWI589821:DWI589829 DMM589821:DMM589829 DCQ589821:DCQ589829 CSU589821:CSU589829 CIY589821:CIY589829 BZC589821:BZC589829 BPG589821:BPG589829 BFK589821:BFK589829 AVO589821:AVO589829 ALS589821:ALS589829 ABW589821:ABW589829 SA589821:SA589829 IE589821:IE589829 C589821:C589829 WUQ524285:WUQ524293 WKU524285:WKU524293 WAY524285:WAY524293 VRC524285:VRC524293 VHG524285:VHG524293 UXK524285:UXK524293 UNO524285:UNO524293 UDS524285:UDS524293 TTW524285:TTW524293 TKA524285:TKA524293 TAE524285:TAE524293 SQI524285:SQI524293 SGM524285:SGM524293 RWQ524285:RWQ524293 RMU524285:RMU524293 RCY524285:RCY524293 QTC524285:QTC524293 QJG524285:QJG524293 PZK524285:PZK524293 PPO524285:PPO524293 PFS524285:PFS524293 OVW524285:OVW524293 OMA524285:OMA524293 OCE524285:OCE524293 NSI524285:NSI524293 NIM524285:NIM524293 MYQ524285:MYQ524293 MOU524285:MOU524293 MEY524285:MEY524293 LVC524285:LVC524293 LLG524285:LLG524293 LBK524285:LBK524293 KRO524285:KRO524293 KHS524285:KHS524293 JXW524285:JXW524293 JOA524285:JOA524293 JEE524285:JEE524293 IUI524285:IUI524293 IKM524285:IKM524293 IAQ524285:IAQ524293 HQU524285:HQU524293 HGY524285:HGY524293 GXC524285:GXC524293 GNG524285:GNG524293 GDK524285:GDK524293 FTO524285:FTO524293 FJS524285:FJS524293 EZW524285:EZW524293 EQA524285:EQA524293 EGE524285:EGE524293 DWI524285:DWI524293 DMM524285:DMM524293 DCQ524285:DCQ524293 CSU524285:CSU524293 CIY524285:CIY524293 BZC524285:BZC524293 BPG524285:BPG524293 BFK524285:BFK524293 AVO524285:AVO524293 ALS524285:ALS524293 ABW524285:ABW524293 SA524285:SA524293 IE524285:IE524293 C524285:C524293 WUQ458749:WUQ458757 WKU458749:WKU458757 WAY458749:WAY458757 VRC458749:VRC458757 VHG458749:VHG458757 UXK458749:UXK458757 UNO458749:UNO458757 UDS458749:UDS458757 TTW458749:TTW458757 TKA458749:TKA458757 TAE458749:TAE458757 SQI458749:SQI458757 SGM458749:SGM458757 RWQ458749:RWQ458757 RMU458749:RMU458757 RCY458749:RCY458757 QTC458749:QTC458757 QJG458749:QJG458757 PZK458749:PZK458757 PPO458749:PPO458757 PFS458749:PFS458757 OVW458749:OVW458757 OMA458749:OMA458757 OCE458749:OCE458757 NSI458749:NSI458757 NIM458749:NIM458757 MYQ458749:MYQ458757 MOU458749:MOU458757 MEY458749:MEY458757 LVC458749:LVC458757 LLG458749:LLG458757 LBK458749:LBK458757 KRO458749:KRO458757 KHS458749:KHS458757 JXW458749:JXW458757 JOA458749:JOA458757 JEE458749:JEE458757 IUI458749:IUI458757 IKM458749:IKM458757 IAQ458749:IAQ458757 HQU458749:HQU458757 HGY458749:HGY458757 GXC458749:GXC458757 GNG458749:GNG458757 GDK458749:GDK458757 FTO458749:FTO458757 FJS458749:FJS458757 EZW458749:EZW458757 EQA458749:EQA458757 EGE458749:EGE458757 DWI458749:DWI458757 DMM458749:DMM458757 DCQ458749:DCQ458757 CSU458749:CSU458757 CIY458749:CIY458757 BZC458749:BZC458757 BPG458749:BPG458757 BFK458749:BFK458757 AVO458749:AVO458757 ALS458749:ALS458757 ABW458749:ABW458757 SA458749:SA458757 IE458749:IE458757 C458749:C458757 WUQ393213:WUQ393221 WKU393213:WKU393221 WAY393213:WAY393221 VRC393213:VRC393221 VHG393213:VHG393221 UXK393213:UXK393221 UNO393213:UNO393221 UDS393213:UDS393221 TTW393213:TTW393221 TKA393213:TKA393221 TAE393213:TAE393221 SQI393213:SQI393221 SGM393213:SGM393221 RWQ393213:RWQ393221 RMU393213:RMU393221 RCY393213:RCY393221 QTC393213:QTC393221 QJG393213:QJG393221 PZK393213:PZK393221 PPO393213:PPO393221 PFS393213:PFS393221 OVW393213:OVW393221 OMA393213:OMA393221 OCE393213:OCE393221 NSI393213:NSI393221 NIM393213:NIM393221 MYQ393213:MYQ393221 MOU393213:MOU393221 MEY393213:MEY393221 LVC393213:LVC393221 LLG393213:LLG393221 LBK393213:LBK393221 KRO393213:KRO393221 KHS393213:KHS393221 JXW393213:JXW393221 JOA393213:JOA393221 JEE393213:JEE393221 IUI393213:IUI393221 IKM393213:IKM393221 IAQ393213:IAQ393221 HQU393213:HQU393221 HGY393213:HGY393221 GXC393213:GXC393221 GNG393213:GNG393221 GDK393213:GDK393221 FTO393213:FTO393221 FJS393213:FJS393221 EZW393213:EZW393221 EQA393213:EQA393221 EGE393213:EGE393221 DWI393213:DWI393221 DMM393213:DMM393221 DCQ393213:DCQ393221 CSU393213:CSU393221 CIY393213:CIY393221 BZC393213:BZC393221 BPG393213:BPG393221 BFK393213:BFK393221 AVO393213:AVO393221 ALS393213:ALS393221 ABW393213:ABW393221 SA393213:SA393221 IE393213:IE393221 C393213:C393221 WUQ327677:WUQ327685 WKU327677:WKU327685 WAY327677:WAY327685 VRC327677:VRC327685 VHG327677:VHG327685 UXK327677:UXK327685 UNO327677:UNO327685 UDS327677:UDS327685 TTW327677:TTW327685 TKA327677:TKA327685 TAE327677:TAE327685 SQI327677:SQI327685 SGM327677:SGM327685 RWQ327677:RWQ327685 RMU327677:RMU327685 RCY327677:RCY327685 QTC327677:QTC327685 QJG327677:QJG327685 PZK327677:PZK327685 PPO327677:PPO327685 PFS327677:PFS327685 OVW327677:OVW327685 OMA327677:OMA327685 OCE327677:OCE327685 NSI327677:NSI327685 NIM327677:NIM327685 MYQ327677:MYQ327685 MOU327677:MOU327685 MEY327677:MEY327685 LVC327677:LVC327685 LLG327677:LLG327685 LBK327677:LBK327685 KRO327677:KRO327685 KHS327677:KHS327685 JXW327677:JXW327685 JOA327677:JOA327685 JEE327677:JEE327685 IUI327677:IUI327685 IKM327677:IKM327685 IAQ327677:IAQ327685 HQU327677:HQU327685 HGY327677:HGY327685 GXC327677:GXC327685 GNG327677:GNG327685 GDK327677:GDK327685 FTO327677:FTO327685 FJS327677:FJS327685 EZW327677:EZW327685 EQA327677:EQA327685 EGE327677:EGE327685 DWI327677:DWI327685 DMM327677:DMM327685 DCQ327677:DCQ327685 CSU327677:CSU327685 CIY327677:CIY327685 BZC327677:BZC327685 BPG327677:BPG327685 BFK327677:BFK327685 AVO327677:AVO327685 ALS327677:ALS327685 ABW327677:ABW327685 SA327677:SA327685 IE327677:IE327685 C327677:C327685 WUQ262141:WUQ262149 WKU262141:WKU262149 WAY262141:WAY262149 VRC262141:VRC262149 VHG262141:VHG262149 UXK262141:UXK262149 UNO262141:UNO262149 UDS262141:UDS262149 TTW262141:TTW262149 TKA262141:TKA262149 TAE262141:TAE262149 SQI262141:SQI262149 SGM262141:SGM262149 RWQ262141:RWQ262149 RMU262141:RMU262149 RCY262141:RCY262149 QTC262141:QTC262149 QJG262141:QJG262149 PZK262141:PZK262149 PPO262141:PPO262149 PFS262141:PFS262149 OVW262141:OVW262149 OMA262141:OMA262149 OCE262141:OCE262149 NSI262141:NSI262149 NIM262141:NIM262149 MYQ262141:MYQ262149 MOU262141:MOU262149 MEY262141:MEY262149 LVC262141:LVC262149 LLG262141:LLG262149 LBK262141:LBK262149 KRO262141:KRO262149 KHS262141:KHS262149 JXW262141:JXW262149 JOA262141:JOA262149 JEE262141:JEE262149 IUI262141:IUI262149 IKM262141:IKM262149 IAQ262141:IAQ262149 HQU262141:HQU262149 HGY262141:HGY262149 GXC262141:GXC262149 GNG262141:GNG262149 GDK262141:GDK262149 FTO262141:FTO262149 FJS262141:FJS262149 EZW262141:EZW262149 EQA262141:EQA262149 EGE262141:EGE262149 DWI262141:DWI262149 DMM262141:DMM262149 DCQ262141:DCQ262149 CSU262141:CSU262149 CIY262141:CIY262149 BZC262141:BZC262149 BPG262141:BPG262149 BFK262141:BFK262149 AVO262141:AVO262149 ALS262141:ALS262149 ABW262141:ABW262149 SA262141:SA262149 IE262141:IE262149 C262141:C262149 WUQ196605:WUQ196613 WKU196605:WKU196613 WAY196605:WAY196613 VRC196605:VRC196613 VHG196605:VHG196613 UXK196605:UXK196613 UNO196605:UNO196613 UDS196605:UDS196613 TTW196605:TTW196613 TKA196605:TKA196613 TAE196605:TAE196613 SQI196605:SQI196613 SGM196605:SGM196613 RWQ196605:RWQ196613 RMU196605:RMU196613 RCY196605:RCY196613 QTC196605:QTC196613 QJG196605:QJG196613 PZK196605:PZK196613 PPO196605:PPO196613 PFS196605:PFS196613 OVW196605:OVW196613 OMA196605:OMA196613 OCE196605:OCE196613 NSI196605:NSI196613 NIM196605:NIM196613 MYQ196605:MYQ196613 MOU196605:MOU196613 MEY196605:MEY196613 LVC196605:LVC196613 LLG196605:LLG196613 LBK196605:LBK196613 KRO196605:KRO196613 KHS196605:KHS196613 JXW196605:JXW196613 JOA196605:JOA196613 JEE196605:JEE196613 IUI196605:IUI196613 IKM196605:IKM196613 IAQ196605:IAQ196613 HQU196605:HQU196613 HGY196605:HGY196613 GXC196605:GXC196613 GNG196605:GNG196613 GDK196605:GDK196613 FTO196605:FTO196613 FJS196605:FJS196613 EZW196605:EZW196613 EQA196605:EQA196613 EGE196605:EGE196613 DWI196605:DWI196613 DMM196605:DMM196613 DCQ196605:DCQ196613 CSU196605:CSU196613 CIY196605:CIY196613 BZC196605:BZC196613 BPG196605:BPG196613 BFK196605:BFK196613 AVO196605:AVO196613 ALS196605:ALS196613 ABW196605:ABW196613 SA196605:SA196613 IE196605:IE196613 C196605:C196613 WUQ131069:WUQ131077 WKU131069:WKU131077 WAY131069:WAY131077 VRC131069:VRC131077 VHG131069:VHG131077 UXK131069:UXK131077 UNO131069:UNO131077 UDS131069:UDS131077 TTW131069:TTW131077 TKA131069:TKA131077 TAE131069:TAE131077 SQI131069:SQI131077 SGM131069:SGM131077 RWQ131069:RWQ131077 RMU131069:RMU131077 RCY131069:RCY131077 QTC131069:QTC131077 QJG131069:QJG131077 PZK131069:PZK131077 PPO131069:PPO131077 PFS131069:PFS131077 OVW131069:OVW131077 OMA131069:OMA131077 OCE131069:OCE131077 NSI131069:NSI131077 NIM131069:NIM131077 MYQ131069:MYQ131077 MOU131069:MOU131077 MEY131069:MEY131077 LVC131069:LVC131077 LLG131069:LLG131077 LBK131069:LBK131077 KRO131069:KRO131077 KHS131069:KHS131077 JXW131069:JXW131077 JOA131069:JOA131077 JEE131069:JEE131077 IUI131069:IUI131077 IKM131069:IKM131077 IAQ131069:IAQ131077 HQU131069:HQU131077 HGY131069:HGY131077 GXC131069:GXC131077 GNG131069:GNG131077 GDK131069:GDK131077 FTO131069:FTO131077 FJS131069:FJS131077 EZW131069:EZW131077 EQA131069:EQA131077 EGE131069:EGE131077 DWI131069:DWI131077 DMM131069:DMM131077 DCQ131069:DCQ131077 CSU131069:CSU131077 CIY131069:CIY131077 BZC131069:BZC131077 BPG131069:BPG131077 BFK131069:BFK131077 AVO131069:AVO131077 ALS131069:ALS131077 ABW131069:ABW131077 SA131069:SA131077 IE131069:IE131077 C131069:C131077 WUQ65533:WUQ65541 WKU65533:WKU65541 WAY65533:WAY65541 VRC65533:VRC65541 VHG65533:VHG65541 UXK65533:UXK65541 UNO65533:UNO65541 UDS65533:UDS65541 TTW65533:TTW65541 TKA65533:TKA65541 TAE65533:TAE65541 SQI65533:SQI65541 SGM65533:SGM65541 RWQ65533:RWQ65541 RMU65533:RMU65541 RCY65533:RCY65541 QTC65533:QTC65541 QJG65533:QJG65541 PZK65533:PZK65541 PPO65533:PPO65541 PFS65533:PFS65541 OVW65533:OVW65541 OMA65533:OMA65541 OCE65533:OCE65541 NSI65533:NSI65541 NIM65533:NIM65541 MYQ65533:MYQ65541 MOU65533:MOU65541 MEY65533:MEY65541 LVC65533:LVC65541 LLG65533:LLG65541 LBK65533:LBK65541 KRO65533:KRO65541 KHS65533:KHS65541 JXW65533:JXW65541 JOA65533:JOA65541 JEE65533:JEE65541 IUI65533:IUI65541 IKM65533:IKM65541 IAQ65533:IAQ65541 HQU65533:HQU65541 HGY65533:HGY65541 GXC65533:GXC65541 GNG65533:GNG65541 GDK65533:GDK65541 FTO65533:FTO65541 FJS65533:FJS65541 EZW65533:EZW65541 EQA65533:EQA65541 EGE65533:EGE65541 DWI65533:DWI65541 DMM65533:DMM65541 DCQ65533:DCQ65541 CSU65533:CSU65541 CIY65533:CIY65541 BZC65533:BZC65541 BPG65533:BPG65541 BFK65533:BFK65541 AVO65533:AVO65541 ALS65533:ALS65541 ABW65533:ABW65541 SA65533:SA65541 IE65533:IE65541 C65533:C65541 WUQ15:WUQ22 WKU15:WKU22 WAY15:WAY22 VRC15:VRC22 VHG15:VHG22 UXK15:UXK22 UNO15:UNO22 UDS15:UDS22 TTW15:TTW22 TKA15:TKA22 TAE15:TAE22 SQI15:SQI22 SGM15:SGM22 RWQ15:RWQ22 RMU15:RMU22 RCY15:RCY22 QTC15:QTC22 QJG15:QJG22 PZK15:PZK22 PPO15:PPO22 PFS15:PFS22 OVW15:OVW22 OMA15:OMA22 OCE15:OCE22 NSI15:NSI22 NIM15:NIM22 MYQ15:MYQ22 MOU15:MOU22 MEY15:MEY22 LVC15:LVC22 LLG15:LLG22 LBK15:LBK22 KRO15:KRO22 KHS15:KHS22 JXW15:JXW22 JOA15:JOA22 JEE15:JEE22 IUI15:IUI22 IKM15:IKM22 IAQ15:IAQ22 HQU15:HQU22 HGY15:HGY22 GXC15:GXC22 GNG15:GNG22 GDK15:GDK22 FTO15:FTO22 FJS15:FJS22 EZW15:EZW22 EQA15:EQA22 EGE15:EGE22 DWI15:DWI22 DMM15:DMM22 DCQ15:DCQ22 CSU15:CSU22 CIY15:CIY22 BZC15:BZC22 BPG15:BPG22 BFK15:BFK22 AVO15:AVO22 ALS15:ALS22 ABW15:ABW22" xr:uid="{00000000-0002-0000-0C00-000000000000}">
      <formula1>#REF!</formula1>
    </dataValidation>
    <dataValidation type="list" allowBlank="1" showInputMessage="1" showErrorMessage="1" sqref="C13" xr:uid="{00000000-0002-0000-0C00-000001000000}">
      <formula1>"SELECT MODEL,INTERNAL,EXTERNAL"</formula1>
    </dataValidation>
    <dataValidation type="list" allowBlank="1" showInputMessage="1" showErrorMessage="1" sqref="C25" xr:uid="{00000000-0002-0000-0C00-000002000000}">
      <formula1>"SELECT CONTROLS,SMARTEC, REMOTE TOUCH SCREEN"</formula1>
    </dataValidation>
  </dataValidations>
  <printOptions horizontalCentered="1"/>
  <pageMargins left="0.78740157480314965" right="0.35433070866141736" top="0.39370078740157483" bottom="0.39370078740157483" header="0.31496062992125984" footer="0.11811023622047245"/>
  <pageSetup paperSize="9" scale="49" orientation="portrait" r:id="rId1"/>
  <headerFooter alignWithMargins="0">
    <oddFooter>&amp;L&amp;Z&amp;F</oddFooter>
  </headerFooter>
  <drawing r:id="rId2"/>
  <legacyDrawing r:id="rId3"/>
  <oleObjects>
    <mc:AlternateContent xmlns:mc="http://schemas.openxmlformats.org/markup-compatibility/2006">
      <mc:Choice Requires="x14">
        <oleObject progId="Acrobat Document" shapeId="21505" r:id="rId4">
          <objectPr defaultSize="0" r:id="rId5">
            <anchor moveWithCells="1">
              <from>
                <xdr:col>20</xdr:col>
                <xdr:colOff>0</xdr:colOff>
                <xdr:row>8</xdr:row>
                <xdr:rowOff>0</xdr:rowOff>
              </from>
              <to>
                <xdr:col>33</xdr:col>
                <xdr:colOff>101600</xdr:colOff>
                <xdr:row>70</xdr:row>
                <xdr:rowOff>101600</xdr:rowOff>
              </to>
            </anchor>
          </objectPr>
        </oleObject>
      </mc:Choice>
      <mc:Fallback>
        <oleObject progId="Acrobat Document" shapeId="21505" r:id="rId4"/>
      </mc:Fallback>
    </mc:AlternateContent>
  </oleObjec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C00-000003000000}">
          <x14:formula1>
            <xm:f>'Base Costs'!$AP$6:$AP$16</xm:f>
          </x14:formula1>
          <xm:sqref>C15</xm:sqref>
        </x14:dataValidation>
        <x14:dataValidation type="list" allowBlank="1" showInputMessage="1" showErrorMessage="1" xr:uid="{00000000-0002-0000-0C00-000004000000}">
          <x14:formula1>
            <xm:f>'Base Costs'!$AP$20:$AP$30</xm:f>
          </x14:formula1>
          <xm:sqref>C16</xm:sqref>
        </x14:dataValidation>
        <x14:dataValidation type="list" allowBlank="1" showInputMessage="1" showErrorMessage="1" xr:uid="{00000000-0002-0000-0C00-000005000000}">
          <x14:formula1>
            <xm:f>'Base Costs'!$AP$33:$AP$43</xm:f>
          </x14:formula1>
          <xm:sqref>C17</xm:sqref>
        </x14:dataValidation>
        <x14:dataValidation type="list" allowBlank="1" showInputMessage="1" showErrorMessage="1" xr:uid="{00000000-0002-0000-0C00-000006000000}">
          <x14:formula1>
            <xm:f>'Base Costs'!$AP$46:$AP$56</xm:f>
          </x14:formula1>
          <xm:sqref>C18</xm:sqref>
        </x14:dataValidation>
        <x14:dataValidation type="list" allowBlank="1" showInputMessage="1" showErrorMessage="1" xr:uid="{00000000-0002-0000-0C00-000007000000}">
          <x14:formula1>
            <xm:f>'Base Costs'!$AP$59:$AP$69</xm:f>
          </x14:formula1>
          <xm:sqref>C19</xm:sqref>
        </x14:dataValidation>
        <x14:dataValidation type="list" allowBlank="1" showInputMessage="1" showErrorMessage="1" xr:uid="{00000000-0002-0000-0C00-000008000000}">
          <x14:formula1>
            <xm:f>'Base Costs'!$AP$72:$AP$82</xm:f>
          </x14:formula1>
          <xm:sqref>C20</xm:sqref>
        </x14:dataValidation>
        <x14:dataValidation type="list" allowBlank="1" showInputMessage="1" showErrorMessage="1" xr:uid="{00000000-0002-0000-0C00-000009000000}">
          <x14:formula1>
            <xm:f>'Base Costs'!$AP$85:$AP$95</xm:f>
          </x14:formula1>
          <xm:sqref>C21</xm:sqref>
        </x14:dataValidation>
        <x14:dataValidation type="list" allowBlank="1" showInputMessage="1" showErrorMessage="1" xr:uid="{00000000-0002-0000-0C00-00000A000000}">
          <x14:formula1>
            <xm:f>'Base Costs'!$AP$98:$AP$108</xm:f>
          </x14:formula1>
          <xm:sqref>C22</xm:sqref>
        </x14:dataValidation>
        <x14:dataValidation type="list" allowBlank="1" showInputMessage="1" showErrorMessage="1" xr:uid="{00000000-0002-0000-0C00-00000B000000}">
          <x14:formula1>
            <xm:f>'Base Costs'!$A$4:$A$16</xm:f>
          </x14:formula1>
          <xm:sqref>D53</xm:sqref>
        </x14:dataValidation>
        <x14:dataValidation type="list" allowBlank="1" showInputMessage="1" showErrorMessage="1" xr:uid="{00000000-0002-0000-0C00-00000C000000}">
          <x14:formula1>
            <xm:f>'Base Costs'!$E$4:$E$213</xm:f>
          </x14:formula1>
          <xm:sqref>D52</xm:sqref>
        </x14:dataValidation>
        <x14:dataValidation type="list" allowBlank="1" showInputMessage="1" showErrorMessage="1" xr:uid="{00000000-0002-0000-0C00-00000D000000}">
          <x14:formula1>
            <xm:f>'/Users/yazan/Library/Containers/com.microsoft.Excel/Data/Documents/\\hflserver\users\Samuel.Antunes\Desktop\New  folder\COST SHEET\[Pollustop Cost Sheet.xlsx]Base Costs'!#REF!</xm:f>
          </x14:formula1>
          <xm:sqref>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8" tint="0.79998168889431442"/>
    <pageSetUpPr fitToPage="1"/>
  </sheetPr>
  <dimension ref="B1:AH203"/>
  <sheetViews>
    <sheetView zoomScale="80" zoomScaleNormal="80" workbookViewId="0">
      <selection activeCell="C60" sqref="C60"/>
    </sheetView>
  </sheetViews>
  <sheetFormatPr baseColWidth="10" defaultColWidth="8.83203125" defaultRowHeight="15" customHeight="1" x14ac:dyDescent="0.15"/>
  <cols>
    <col min="1" max="1" width="1.6640625" style="55" customWidth="1"/>
    <col min="2" max="2" width="29.83203125" style="55" customWidth="1"/>
    <col min="3" max="3" width="23.33203125" style="55" customWidth="1"/>
    <col min="4" max="4" width="26.6640625" style="56" customWidth="1"/>
    <col min="5" max="5" width="11.5" style="55" customWidth="1"/>
    <col min="6" max="6" width="25.83203125" style="55" customWidth="1"/>
    <col min="7" max="7" width="12.5" style="362" customWidth="1"/>
    <col min="8" max="8" width="15.5" style="362" customWidth="1"/>
    <col min="9" max="9" width="9.33203125" style="56" customWidth="1"/>
    <col min="10" max="10" width="11" style="362" bestFit="1" customWidth="1"/>
    <col min="11" max="11" width="17" style="362" customWidth="1"/>
    <col min="12" max="12" width="13.1640625" style="362" bestFit="1" customWidth="1"/>
    <col min="13" max="13" width="12.5" style="55" customWidth="1"/>
    <col min="14" max="235" width="9.1640625" style="55"/>
    <col min="236" max="236" width="25.6640625" style="55" customWidth="1"/>
    <col min="237" max="237" width="9" style="55" customWidth="1"/>
    <col min="238" max="238" width="22" style="55" customWidth="1"/>
    <col min="239" max="239" width="4.5" style="55" customWidth="1"/>
    <col min="240" max="240" width="13.33203125" style="55" customWidth="1"/>
    <col min="241" max="241" width="14.1640625" style="55" customWidth="1"/>
    <col min="242" max="242" width="9.33203125" style="55" customWidth="1"/>
    <col min="243" max="243" width="11.1640625" style="55" customWidth="1"/>
    <col min="244" max="244" width="9.1640625" style="55"/>
    <col min="245" max="245" width="10.33203125" style="55" customWidth="1"/>
    <col min="246" max="246" width="7.6640625" style="55" customWidth="1"/>
    <col min="247" max="247" width="12.6640625" style="55" customWidth="1"/>
    <col min="248" max="248" width="10.6640625" style="55" customWidth="1"/>
    <col min="249" max="249" width="12.83203125" style="55" customWidth="1"/>
    <col min="250" max="250" width="10.83203125" style="55" customWidth="1"/>
    <col min="251" max="251" width="12.5" style="55" customWidth="1"/>
    <col min="252" max="252" width="10.5" style="55" customWidth="1"/>
    <col min="253" max="253" width="13.1640625" style="55" customWidth="1"/>
    <col min="254" max="254" width="9.83203125" style="55" customWidth="1"/>
    <col min="255" max="255" width="13.6640625" style="55" customWidth="1"/>
    <col min="256" max="256" width="9.5" style="55" customWidth="1"/>
    <col min="257" max="257" width="12.5" style="55" customWidth="1"/>
    <col min="258" max="258" width="10" style="55" customWidth="1"/>
    <col min="259" max="259" width="13" style="55" customWidth="1"/>
    <col min="260" max="260" width="11" style="55" customWidth="1"/>
    <col min="261" max="261" width="13.83203125" style="55" customWidth="1"/>
    <col min="262" max="262" width="11.33203125" style="55" customWidth="1"/>
    <col min="263" max="263" width="13" style="55" customWidth="1"/>
    <col min="264" max="264" width="9" style="55" customWidth="1"/>
    <col min="265" max="265" width="3.83203125" style="55" customWidth="1"/>
    <col min="266" max="266" width="18.5" style="55" customWidth="1"/>
    <col min="267" max="267" width="10" style="55" customWidth="1"/>
    <col min="268" max="491" width="9.1640625" style="55"/>
    <col min="492" max="492" width="25.6640625" style="55" customWidth="1"/>
    <col min="493" max="493" width="9" style="55" customWidth="1"/>
    <col min="494" max="494" width="22" style="55" customWidth="1"/>
    <col min="495" max="495" width="4.5" style="55" customWidth="1"/>
    <col min="496" max="496" width="13.33203125" style="55" customWidth="1"/>
    <col min="497" max="497" width="14.1640625" style="55" customWidth="1"/>
    <col min="498" max="498" width="9.33203125" style="55" customWidth="1"/>
    <col min="499" max="499" width="11.1640625" style="55" customWidth="1"/>
    <col min="500" max="500" width="9.1640625" style="55"/>
    <col min="501" max="501" width="10.33203125" style="55" customWidth="1"/>
    <col min="502" max="502" width="7.6640625" style="55" customWidth="1"/>
    <col min="503" max="503" width="12.6640625" style="55" customWidth="1"/>
    <col min="504" max="504" width="10.6640625" style="55" customWidth="1"/>
    <col min="505" max="505" width="12.83203125" style="55" customWidth="1"/>
    <col min="506" max="506" width="10.83203125" style="55" customWidth="1"/>
    <col min="507" max="507" width="12.5" style="55" customWidth="1"/>
    <col min="508" max="508" width="10.5" style="55" customWidth="1"/>
    <col min="509" max="509" width="13.1640625" style="55" customWidth="1"/>
    <col min="510" max="510" width="9.83203125" style="55" customWidth="1"/>
    <col min="511" max="511" width="13.6640625" style="55" customWidth="1"/>
    <col min="512" max="512" width="9.5" style="55" customWidth="1"/>
    <col min="513" max="513" width="12.5" style="55" customWidth="1"/>
    <col min="514" max="514" width="10" style="55" customWidth="1"/>
    <col min="515" max="515" width="13" style="55" customWidth="1"/>
    <col min="516" max="516" width="11" style="55" customWidth="1"/>
    <col min="517" max="517" width="13.83203125" style="55" customWidth="1"/>
    <col min="518" max="518" width="11.33203125" style="55" customWidth="1"/>
    <col min="519" max="519" width="13" style="55" customWidth="1"/>
    <col min="520" max="520" width="9" style="55" customWidth="1"/>
    <col min="521" max="521" width="3.83203125" style="55" customWidth="1"/>
    <col min="522" max="522" width="18.5" style="55" customWidth="1"/>
    <col min="523" max="523" width="10" style="55" customWidth="1"/>
    <col min="524" max="747" width="9.1640625" style="55"/>
    <col min="748" max="748" width="25.6640625" style="55" customWidth="1"/>
    <col min="749" max="749" width="9" style="55" customWidth="1"/>
    <col min="750" max="750" width="22" style="55" customWidth="1"/>
    <col min="751" max="751" width="4.5" style="55" customWidth="1"/>
    <col min="752" max="752" width="13.33203125" style="55" customWidth="1"/>
    <col min="753" max="753" width="14.1640625" style="55" customWidth="1"/>
    <col min="754" max="754" width="9.33203125" style="55" customWidth="1"/>
    <col min="755" max="755" width="11.1640625" style="55" customWidth="1"/>
    <col min="756" max="756" width="9.1640625" style="55"/>
    <col min="757" max="757" width="10.33203125" style="55" customWidth="1"/>
    <col min="758" max="758" width="7.6640625" style="55" customWidth="1"/>
    <col min="759" max="759" width="12.6640625" style="55" customWidth="1"/>
    <col min="760" max="760" width="10.6640625" style="55" customWidth="1"/>
    <col min="761" max="761" width="12.83203125" style="55" customWidth="1"/>
    <col min="762" max="762" width="10.83203125" style="55" customWidth="1"/>
    <col min="763" max="763" width="12.5" style="55" customWidth="1"/>
    <col min="764" max="764" width="10.5" style="55" customWidth="1"/>
    <col min="765" max="765" width="13.1640625" style="55" customWidth="1"/>
    <col min="766" max="766" width="9.83203125" style="55" customWidth="1"/>
    <col min="767" max="767" width="13.6640625" style="55" customWidth="1"/>
    <col min="768" max="768" width="9.5" style="55" customWidth="1"/>
    <col min="769" max="769" width="12.5" style="55" customWidth="1"/>
    <col min="770" max="770" width="10" style="55" customWidth="1"/>
    <col min="771" max="771" width="13" style="55" customWidth="1"/>
    <col min="772" max="772" width="11" style="55" customWidth="1"/>
    <col min="773" max="773" width="13.83203125" style="55" customWidth="1"/>
    <col min="774" max="774" width="11.33203125" style="55" customWidth="1"/>
    <col min="775" max="775" width="13" style="55" customWidth="1"/>
    <col min="776" max="776" width="9" style="55" customWidth="1"/>
    <col min="777" max="777" width="3.83203125" style="55" customWidth="1"/>
    <col min="778" max="778" width="18.5" style="55" customWidth="1"/>
    <col min="779" max="779" width="10" style="55" customWidth="1"/>
    <col min="780" max="1003" width="9.1640625" style="55"/>
    <col min="1004" max="1004" width="25.6640625" style="55" customWidth="1"/>
    <col min="1005" max="1005" width="9" style="55" customWidth="1"/>
    <col min="1006" max="1006" width="22" style="55" customWidth="1"/>
    <col min="1007" max="1007" width="4.5" style="55" customWidth="1"/>
    <col min="1008" max="1008" width="13.33203125" style="55" customWidth="1"/>
    <col min="1009" max="1009" width="14.1640625" style="55" customWidth="1"/>
    <col min="1010" max="1010" width="9.33203125" style="55" customWidth="1"/>
    <col min="1011" max="1011" width="11.1640625" style="55" customWidth="1"/>
    <col min="1012" max="1012" width="9.1640625" style="55"/>
    <col min="1013" max="1013" width="10.33203125" style="55" customWidth="1"/>
    <col min="1014" max="1014" width="7.6640625" style="55" customWidth="1"/>
    <col min="1015" max="1015" width="12.6640625" style="55" customWidth="1"/>
    <col min="1016" max="1016" width="10.6640625" style="55" customWidth="1"/>
    <col min="1017" max="1017" width="12.83203125" style="55" customWidth="1"/>
    <col min="1018" max="1018" width="10.83203125" style="55" customWidth="1"/>
    <col min="1019" max="1019" width="12.5" style="55" customWidth="1"/>
    <col min="1020" max="1020" width="10.5" style="55" customWidth="1"/>
    <col min="1021" max="1021" width="13.1640625" style="55" customWidth="1"/>
    <col min="1022" max="1022" width="9.83203125" style="55" customWidth="1"/>
    <col min="1023" max="1023" width="13.6640625" style="55" customWidth="1"/>
    <col min="1024" max="1024" width="9.5" style="55" customWidth="1"/>
    <col min="1025" max="1025" width="12.5" style="55" customWidth="1"/>
    <col min="1026" max="1026" width="10" style="55" customWidth="1"/>
    <col min="1027" max="1027" width="13" style="55" customWidth="1"/>
    <col min="1028" max="1028" width="11" style="55" customWidth="1"/>
    <col min="1029" max="1029" width="13.83203125" style="55" customWidth="1"/>
    <col min="1030" max="1030" width="11.33203125" style="55" customWidth="1"/>
    <col min="1031" max="1031" width="13" style="55" customWidth="1"/>
    <col min="1032" max="1032" width="9" style="55" customWidth="1"/>
    <col min="1033" max="1033" width="3.83203125" style="55" customWidth="1"/>
    <col min="1034" max="1034" width="18.5" style="55" customWidth="1"/>
    <col min="1035" max="1035" width="10" style="55" customWidth="1"/>
    <col min="1036" max="1259" width="9.1640625" style="55"/>
    <col min="1260" max="1260" width="25.6640625" style="55" customWidth="1"/>
    <col min="1261" max="1261" width="9" style="55" customWidth="1"/>
    <col min="1262" max="1262" width="22" style="55" customWidth="1"/>
    <col min="1263" max="1263" width="4.5" style="55" customWidth="1"/>
    <col min="1264" max="1264" width="13.33203125" style="55" customWidth="1"/>
    <col min="1265" max="1265" width="14.1640625" style="55" customWidth="1"/>
    <col min="1266" max="1266" width="9.33203125" style="55" customWidth="1"/>
    <col min="1267" max="1267" width="11.1640625" style="55" customWidth="1"/>
    <col min="1268" max="1268" width="9.1640625" style="55"/>
    <col min="1269" max="1269" width="10.33203125" style="55" customWidth="1"/>
    <col min="1270" max="1270" width="7.6640625" style="55" customWidth="1"/>
    <col min="1271" max="1271" width="12.6640625" style="55" customWidth="1"/>
    <col min="1272" max="1272" width="10.6640625" style="55" customWidth="1"/>
    <col min="1273" max="1273" width="12.83203125" style="55" customWidth="1"/>
    <col min="1274" max="1274" width="10.83203125" style="55" customWidth="1"/>
    <col min="1275" max="1275" width="12.5" style="55" customWidth="1"/>
    <col min="1276" max="1276" width="10.5" style="55" customWidth="1"/>
    <col min="1277" max="1277" width="13.1640625" style="55" customWidth="1"/>
    <col min="1278" max="1278" width="9.83203125" style="55" customWidth="1"/>
    <col min="1279" max="1279" width="13.6640625" style="55" customWidth="1"/>
    <col min="1280" max="1280" width="9.5" style="55" customWidth="1"/>
    <col min="1281" max="1281" width="12.5" style="55" customWidth="1"/>
    <col min="1282" max="1282" width="10" style="55" customWidth="1"/>
    <col min="1283" max="1283" width="13" style="55" customWidth="1"/>
    <col min="1284" max="1284" width="11" style="55" customWidth="1"/>
    <col min="1285" max="1285" width="13.83203125" style="55" customWidth="1"/>
    <col min="1286" max="1286" width="11.33203125" style="55" customWidth="1"/>
    <col min="1287" max="1287" width="13" style="55" customWidth="1"/>
    <col min="1288" max="1288" width="9" style="55" customWidth="1"/>
    <col min="1289" max="1289" width="3.83203125" style="55" customWidth="1"/>
    <col min="1290" max="1290" width="18.5" style="55" customWidth="1"/>
    <col min="1291" max="1291" width="10" style="55" customWidth="1"/>
    <col min="1292" max="1515" width="9.1640625" style="55"/>
    <col min="1516" max="1516" width="25.6640625" style="55" customWidth="1"/>
    <col min="1517" max="1517" width="9" style="55" customWidth="1"/>
    <col min="1518" max="1518" width="22" style="55" customWidth="1"/>
    <col min="1519" max="1519" width="4.5" style="55" customWidth="1"/>
    <col min="1520" max="1520" width="13.33203125" style="55" customWidth="1"/>
    <col min="1521" max="1521" width="14.1640625" style="55" customWidth="1"/>
    <col min="1522" max="1522" width="9.33203125" style="55" customWidth="1"/>
    <col min="1523" max="1523" width="11.1640625" style="55" customWidth="1"/>
    <col min="1524" max="1524" width="9.1640625" style="55"/>
    <col min="1525" max="1525" width="10.33203125" style="55" customWidth="1"/>
    <col min="1526" max="1526" width="7.6640625" style="55" customWidth="1"/>
    <col min="1527" max="1527" width="12.6640625" style="55" customWidth="1"/>
    <col min="1528" max="1528" width="10.6640625" style="55" customWidth="1"/>
    <col min="1529" max="1529" width="12.83203125" style="55" customWidth="1"/>
    <col min="1530" max="1530" width="10.83203125" style="55" customWidth="1"/>
    <col min="1531" max="1531" width="12.5" style="55" customWidth="1"/>
    <col min="1532" max="1532" width="10.5" style="55" customWidth="1"/>
    <col min="1533" max="1533" width="13.1640625" style="55" customWidth="1"/>
    <col min="1534" max="1534" width="9.83203125" style="55" customWidth="1"/>
    <col min="1535" max="1535" width="13.6640625" style="55" customWidth="1"/>
    <col min="1536" max="1536" width="9.5" style="55" customWidth="1"/>
    <col min="1537" max="1537" width="12.5" style="55" customWidth="1"/>
    <col min="1538" max="1538" width="10" style="55" customWidth="1"/>
    <col min="1539" max="1539" width="13" style="55" customWidth="1"/>
    <col min="1540" max="1540" width="11" style="55" customWidth="1"/>
    <col min="1541" max="1541" width="13.83203125" style="55" customWidth="1"/>
    <col min="1542" max="1542" width="11.33203125" style="55" customWidth="1"/>
    <col min="1543" max="1543" width="13" style="55" customWidth="1"/>
    <col min="1544" max="1544" width="9" style="55" customWidth="1"/>
    <col min="1545" max="1545" width="3.83203125" style="55" customWidth="1"/>
    <col min="1546" max="1546" width="18.5" style="55" customWidth="1"/>
    <col min="1547" max="1547" width="10" style="55" customWidth="1"/>
    <col min="1548" max="1771" width="9.1640625" style="55"/>
    <col min="1772" max="1772" width="25.6640625" style="55" customWidth="1"/>
    <col min="1773" max="1773" width="9" style="55" customWidth="1"/>
    <col min="1774" max="1774" width="22" style="55" customWidth="1"/>
    <col min="1775" max="1775" width="4.5" style="55" customWidth="1"/>
    <col min="1776" max="1776" width="13.33203125" style="55" customWidth="1"/>
    <col min="1777" max="1777" width="14.1640625" style="55" customWidth="1"/>
    <col min="1778" max="1778" width="9.33203125" style="55" customWidth="1"/>
    <col min="1779" max="1779" width="11.1640625" style="55" customWidth="1"/>
    <col min="1780" max="1780" width="9.1640625" style="55"/>
    <col min="1781" max="1781" width="10.33203125" style="55" customWidth="1"/>
    <col min="1782" max="1782" width="7.6640625" style="55" customWidth="1"/>
    <col min="1783" max="1783" width="12.6640625" style="55" customWidth="1"/>
    <col min="1784" max="1784" width="10.6640625" style="55" customWidth="1"/>
    <col min="1785" max="1785" width="12.83203125" style="55" customWidth="1"/>
    <col min="1786" max="1786" width="10.83203125" style="55" customWidth="1"/>
    <col min="1787" max="1787" width="12.5" style="55" customWidth="1"/>
    <col min="1788" max="1788" width="10.5" style="55" customWidth="1"/>
    <col min="1789" max="1789" width="13.1640625" style="55" customWidth="1"/>
    <col min="1790" max="1790" width="9.83203125" style="55" customWidth="1"/>
    <col min="1791" max="1791" width="13.6640625" style="55" customWidth="1"/>
    <col min="1792" max="1792" width="9.5" style="55" customWidth="1"/>
    <col min="1793" max="1793" width="12.5" style="55" customWidth="1"/>
    <col min="1794" max="1794" width="10" style="55" customWidth="1"/>
    <col min="1795" max="1795" width="13" style="55" customWidth="1"/>
    <col min="1796" max="1796" width="11" style="55" customWidth="1"/>
    <col min="1797" max="1797" width="13.83203125" style="55" customWidth="1"/>
    <col min="1798" max="1798" width="11.33203125" style="55" customWidth="1"/>
    <col min="1799" max="1799" width="13" style="55" customWidth="1"/>
    <col min="1800" max="1800" width="9" style="55" customWidth="1"/>
    <col min="1801" max="1801" width="3.83203125" style="55" customWidth="1"/>
    <col min="1802" max="1802" width="18.5" style="55" customWidth="1"/>
    <col min="1803" max="1803" width="10" style="55" customWidth="1"/>
    <col min="1804" max="2027" width="9.1640625" style="55"/>
    <col min="2028" max="2028" width="25.6640625" style="55" customWidth="1"/>
    <col min="2029" max="2029" width="9" style="55" customWidth="1"/>
    <col min="2030" max="2030" width="22" style="55" customWidth="1"/>
    <col min="2031" max="2031" width="4.5" style="55" customWidth="1"/>
    <col min="2032" max="2032" width="13.33203125" style="55" customWidth="1"/>
    <col min="2033" max="2033" width="14.1640625" style="55" customWidth="1"/>
    <col min="2034" max="2034" width="9.33203125" style="55" customWidth="1"/>
    <col min="2035" max="2035" width="11.1640625" style="55" customWidth="1"/>
    <col min="2036" max="2036" width="9.1640625" style="55"/>
    <col min="2037" max="2037" width="10.33203125" style="55" customWidth="1"/>
    <col min="2038" max="2038" width="7.6640625" style="55" customWidth="1"/>
    <col min="2039" max="2039" width="12.6640625" style="55" customWidth="1"/>
    <col min="2040" max="2040" width="10.6640625" style="55" customWidth="1"/>
    <col min="2041" max="2041" width="12.83203125" style="55" customWidth="1"/>
    <col min="2042" max="2042" width="10.83203125" style="55" customWidth="1"/>
    <col min="2043" max="2043" width="12.5" style="55" customWidth="1"/>
    <col min="2044" max="2044" width="10.5" style="55" customWidth="1"/>
    <col min="2045" max="2045" width="13.1640625" style="55" customWidth="1"/>
    <col min="2046" max="2046" width="9.83203125" style="55" customWidth="1"/>
    <col min="2047" max="2047" width="13.6640625" style="55" customWidth="1"/>
    <col min="2048" max="2048" width="9.5" style="55" customWidth="1"/>
    <col min="2049" max="2049" width="12.5" style="55" customWidth="1"/>
    <col min="2050" max="2050" width="10" style="55" customWidth="1"/>
    <col min="2051" max="2051" width="13" style="55" customWidth="1"/>
    <col min="2052" max="2052" width="11" style="55" customWidth="1"/>
    <col min="2053" max="2053" width="13.83203125" style="55" customWidth="1"/>
    <col min="2054" max="2054" width="11.33203125" style="55" customWidth="1"/>
    <col min="2055" max="2055" width="13" style="55" customWidth="1"/>
    <col min="2056" max="2056" width="9" style="55" customWidth="1"/>
    <col min="2057" max="2057" width="3.83203125" style="55" customWidth="1"/>
    <col min="2058" max="2058" width="18.5" style="55" customWidth="1"/>
    <col min="2059" max="2059" width="10" style="55" customWidth="1"/>
    <col min="2060" max="2283" width="9.1640625" style="55"/>
    <col min="2284" max="2284" width="25.6640625" style="55" customWidth="1"/>
    <col min="2285" max="2285" width="9" style="55" customWidth="1"/>
    <col min="2286" max="2286" width="22" style="55" customWidth="1"/>
    <col min="2287" max="2287" width="4.5" style="55" customWidth="1"/>
    <col min="2288" max="2288" width="13.33203125" style="55" customWidth="1"/>
    <col min="2289" max="2289" width="14.1640625" style="55" customWidth="1"/>
    <col min="2290" max="2290" width="9.33203125" style="55" customWidth="1"/>
    <col min="2291" max="2291" width="11.1640625" style="55" customWidth="1"/>
    <col min="2292" max="2292" width="9.1640625" style="55"/>
    <col min="2293" max="2293" width="10.33203125" style="55" customWidth="1"/>
    <col min="2294" max="2294" width="7.6640625" style="55" customWidth="1"/>
    <col min="2295" max="2295" width="12.6640625" style="55" customWidth="1"/>
    <col min="2296" max="2296" width="10.6640625" style="55" customWidth="1"/>
    <col min="2297" max="2297" width="12.83203125" style="55" customWidth="1"/>
    <col min="2298" max="2298" width="10.83203125" style="55" customWidth="1"/>
    <col min="2299" max="2299" width="12.5" style="55" customWidth="1"/>
    <col min="2300" max="2300" width="10.5" style="55" customWidth="1"/>
    <col min="2301" max="2301" width="13.1640625" style="55" customWidth="1"/>
    <col min="2302" max="2302" width="9.83203125" style="55" customWidth="1"/>
    <col min="2303" max="2303" width="13.6640625" style="55" customWidth="1"/>
    <col min="2304" max="2304" width="9.5" style="55" customWidth="1"/>
    <col min="2305" max="2305" width="12.5" style="55" customWidth="1"/>
    <col min="2306" max="2306" width="10" style="55" customWidth="1"/>
    <col min="2307" max="2307" width="13" style="55" customWidth="1"/>
    <col min="2308" max="2308" width="11" style="55" customWidth="1"/>
    <col min="2309" max="2309" width="13.83203125" style="55" customWidth="1"/>
    <col min="2310" max="2310" width="11.33203125" style="55" customWidth="1"/>
    <col min="2311" max="2311" width="13" style="55" customWidth="1"/>
    <col min="2312" max="2312" width="9" style="55" customWidth="1"/>
    <col min="2313" max="2313" width="3.83203125" style="55" customWidth="1"/>
    <col min="2314" max="2314" width="18.5" style="55" customWidth="1"/>
    <col min="2315" max="2315" width="10" style="55" customWidth="1"/>
    <col min="2316" max="2539" width="9.1640625" style="55"/>
    <col min="2540" max="2540" width="25.6640625" style="55" customWidth="1"/>
    <col min="2541" max="2541" width="9" style="55" customWidth="1"/>
    <col min="2542" max="2542" width="22" style="55" customWidth="1"/>
    <col min="2543" max="2543" width="4.5" style="55" customWidth="1"/>
    <col min="2544" max="2544" width="13.33203125" style="55" customWidth="1"/>
    <col min="2545" max="2545" width="14.1640625" style="55" customWidth="1"/>
    <col min="2546" max="2546" width="9.33203125" style="55" customWidth="1"/>
    <col min="2547" max="2547" width="11.1640625" style="55" customWidth="1"/>
    <col min="2548" max="2548" width="9.1640625" style="55"/>
    <col min="2549" max="2549" width="10.33203125" style="55" customWidth="1"/>
    <col min="2550" max="2550" width="7.6640625" style="55" customWidth="1"/>
    <col min="2551" max="2551" width="12.6640625" style="55" customWidth="1"/>
    <col min="2552" max="2552" width="10.6640625" style="55" customWidth="1"/>
    <col min="2553" max="2553" width="12.83203125" style="55" customWidth="1"/>
    <col min="2554" max="2554" width="10.83203125" style="55" customWidth="1"/>
    <col min="2555" max="2555" width="12.5" style="55" customWidth="1"/>
    <col min="2556" max="2556" width="10.5" style="55" customWidth="1"/>
    <col min="2557" max="2557" width="13.1640625" style="55" customWidth="1"/>
    <col min="2558" max="2558" width="9.83203125" style="55" customWidth="1"/>
    <col min="2559" max="2559" width="13.6640625" style="55" customWidth="1"/>
    <col min="2560" max="2560" width="9.5" style="55" customWidth="1"/>
    <col min="2561" max="2561" width="12.5" style="55" customWidth="1"/>
    <col min="2562" max="2562" width="10" style="55" customWidth="1"/>
    <col min="2563" max="2563" width="13" style="55" customWidth="1"/>
    <col min="2564" max="2564" width="11" style="55" customWidth="1"/>
    <col min="2565" max="2565" width="13.83203125" style="55" customWidth="1"/>
    <col min="2566" max="2566" width="11.33203125" style="55" customWidth="1"/>
    <col min="2567" max="2567" width="13" style="55" customWidth="1"/>
    <col min="2568" max="2568" width="9" style="55" customWidth="1"/>
    <col min="2569" max="2569" width="3.83203125" style="55" customWidth="1"/>
    <col min="2570" max="2570" width="18.5" style="55" customWidth="1"/>
    <col min="2571" max="2571" width="10" style="55" customWidth="1"/>
    <col min="2572" max="2795" width="9.1640625" style="55"/>
    <col min="2796" max="2796" width="25.6640625" style="55" customWidth="1"/>
    <col min="2797" max="2797" width="9" style="55" customWidth="1"/>
    <col min="2798" max="2798" width="22" style="55" customWidth="1"/>
    <col min="2799" max="2799" width="4.5" style="55" customWidth="1"/>
    <col min="2800" max="2800" width="13.33203125" style="55" customWidth="1"/>
    <col min="2801" max="2801" width="14.1640625" style="55" customWidth="1"/>
    <col min="2802" max="2802" width="9.33203125" style="55" customWidth="1"/>
    <col min="2803" max="2803" width="11.1640625" style="55" customWidth="1"/>
    <col min="2804" max="2804" width="9.1640625" style="55"/>
    <col min="2805" max="2805" width="10.33203125" style="55" customWidth="1"/>
    <col min="2806" max="2806" width="7.6640625" style="55" customWidth="1"/>
    <col min="2807" max="2807" width="12.6640625" style="55" customWidth="1"/>
    <col min="2808" max="2808" width="10.6640625" style="55" customWidth="1"/>
    <col min="2809" max="2809" width="12.83203125" style="55" customWidth="1"/>
    <col min="2810" max="2810" width="10.83203125" style="55" customWidth="1"/>
    <col min="2811" max="2811" width="12.5" style="55" customWidth="1"/>
    <col min="2812" max="2812" width="10.5" style="55" customWidth="1"/>
    <col min="2813" max="2813" width="13.1640625" style="55" customWidth="1"/>
    <col min="2814" max="2814" width="9.83203125" style="55" customWidth="1"/>
    <col min="2815" max="2815" width="13.6640625" style="55" customWidth="1"/>
    <col min="2816" max="2816" width="9.5" style="55" customWidth="1"/>
    <col min="2817" max="2817" width="12.5" style="55" customWidth="1"/>
    <col min="2818" max="2818" width="10" style="55" customWidth="1"/>
    <col min="2819" max="2819" width="13" style="55" customWidth="1"/>
    <col min="2820" max="2820" width="11" style="55" customWidth="1"/>
    <col min="2821" max="2821" width="13.83203125" style="55" customWidth="1"/>
    <col min="2822" max="2822" width="11.33203125" style="55" customWidth="1"/>
    <col min="2823" max="2823" width="13" style="55" customWidth="1"/>
    <col min="2824" max="2824" width="9" style="55" customWidth="1"/>
    <col min="2825" max="2825" width="3.83203125" style="55" customWidth="1"/>
    <col min="2826" max="2826" width="18.5" style="55" customWidth="1"/>
    <col min="2827" max="2827" width="10" style="55" customWidth="1"/>
    <col min="2828" max="3051" width="9.1640625" style="55"/>
    <col min="3052" max="3052" width="25.6640625" style="55" customWidth="1"/>
    <col min="3053" max="3053" width="9" style="55" customWidth="1"/>
    <col min="3054" max="3054" width="22" style="55" customWidth="1"/>
    <col min="3055" max="3055" width="4.5" style="55" customWidth="1"/>
    <col min="3056" max="3056" width="13.33203125" style="55" customWidth="1"/>
    <col min="3057" max="3057" width="14.1640625" style="55" customWidth="1"/>
    <col min="3058" max="3058" width="9.33203125" style="55" customWidth="1"/>
    <col min="3059" max="3059" width="11.1640625" style="55" customWidth="1"/>
    <col min="3060" max="3060" width="9.1640625" style="55"/>
    <col min="3061" max="3061" width="10.33203125" style="55" customWidth="1"/>
    <col min="3062" max="3062" width="7.6640625" style="55" customWidth="1"/>
    <col min="3063" max="3063" width="12.6640625" style="55" customWidth="1"/>
    <col min="3064" max="3064" width="10.6640625" style="55" customWidth="1"/>
    <col min="3065" max="3065" width="12.83203125" style="55" customWidth="1"/>
    <col min="3066" max="3066" width="10.83203125" style="55" customWidth="1"/>
    <col min="3067" max="3067" width="12.5" style="55" customWidth="1"/>
    <col min="3068" max="3068" width="10.5" style="55" customWidth="1"/>
    <col min="3069" max="3069" width="13.1640625" style="55" customWidth="1"/>
    <col min="3070" max="3070" width="9.83203125" style="55" customWidth="1"/>
    <col min="3071" max="3071" width="13.6640625" style="55" customWidth="1"/>
    <col min="3072" max="3072" width="9.5" style="55" customWidth="1"/>
    <col min="3073" max="3073" width="12.5" style="55" customWidth="1"/>
    <col min="3074" max="3074" width="10" style="55" customWidth="1"/>
    <col min="3075" max="3075" width="13" style="55" customWidth="1"/>
    <col min="3076" max="3076" width="11" style="55" customWidth="1"/>
    <col min="3077" max="3077" width="13.83203125" style="55" customWidth="1"/>
    <col min="3078" max="3078" width="11.33203125" style="55" customWidth="1"/>
    <col min="3079" max="3079" width="13" style="55" customWidth="1"/>
    <col min="3080" max="3080" width="9" style="55" customWidth="1"/>
    <col min="3081" max="3081" width="3.83203125" style="55" customWidth="1"/>
    <col min="3082" max="3082" width="18.5" style="55" customWidth="1"/>
    <col min="3083" max="3083" width="10" style="55" customWidth="1"/>
    <col min="3084" max="3307" width="9.1640625" style="55"/>
    <col min="3308" max="3308" width="25.6640625" style="55" customWidth="1"/>
    <col min="3309" max="3309" width="9" style="55" customWidth="1"/>
    <col min="3310" max="3310" width="22" style="55" customWidth="1"/>
    <col min="3311" max="3311" width="4.5" style="55" customWidth="1"/>
    <col min="3312" max="3312" width="13.33203125" style="55" customWidth="1"/>
    <col min="3313" max="3313" width="14.1640625" style="55" customWidth="1"/>
    <col min="3314" max="3314" width="9.33203125" style="55" customWidth="1"/>
    <col min="3315" max="3315" width="11.1640625" style="55" customWidth="1"/>
    <col min="3316" max="3316" width="9.1640625" style="55"/>
    <col min="3317" max="3317" width="10.33203125" style="55" customWidth="1"/>
    <col min="3318" max="3318" width="7.6640625" style="55" customWidth="1"/>
    <col min="3319" max="3319" width="12.6640625" style="55" customWidth="1"/>
    <col min="3320" max="3320" width="10.6640625" style="55" customWidth="1"/>
    <col min="3321" max="3321" width="12.83203125" style="55" customWidth="1"/>
    <col min="3322" max="3322" width="10.83203125" style="55" customWidth="1"/>
    <col min="3323" max="3323" width="12.5" style="55" customWidth="1"/>
    <col min="3324" max="3324" width="10.5" style="55" customWidth="1"/>
    <col min="3325" max="3325" width="13.1640625" style="55" customWidth="1"/>
    <col min="3326" max="3326" width="9.83203125" style="55" customWidth="1"/>
    <col min="3327" max="3327" width="13.6640625" style="55" customWidth="1"/>
    <col min="3328" max="3328" width="9.5" style="55" customWidth="1"/>
    <col min="3329" max="3329" width="12.5" style="55" customWidth="1"/>
    <col min="3330" max="3330" width="10" style="55" customWidth="1"/>
    <col min="3331" max="3331" width="13" style="55" customWidth="1"/>
    <col min="3332" max="3332" width="11" style="55" customWidth="1"/>
    <col min="3333" max="3333" width="13.83203125" style="55" customWidth="1"/>
    <col min="3334" max="3334" width="11.33203125" style="55" customWidth="1"/>
    <col min="3335" max="3335" width="13" style="55" customWidth="1"/>
    <col min="3336" max="3336" width="9" style="55" customWidth="1"/>
    <col min="3337" max="3337" width="3.83203125" style="55" customWidth="1"/>
    <col min="3338" max="3338" width="18.5" style="55" customWidth="1"/>
    <col min="3339" max="3339" width="10" style="55" customWidth="1"/>
    <col min="3340" max="3563" width="9.1640625" style="55"/>
    <col min="3564" max="3564" width="25.6640625" style="55" customWidth="1"/>
    <col min="3565" max="3565" width="9" style="55" customWidth="1"/>
    <col min="3566" max="3566" width="22" style="55" customWidth="1"/>
    <col min="3567" max="3567" width="4.5" style="55" customWidth="1"/>
    <col min="3568" max="3568" width="13.33203125" style="55" customWidth="1"/>
    <col min="3569" max="3569" width="14.1640625" style="55" customWidth="1"/>
    <col min="3570" max="3570" width="9.33203125" style="55" customWidth="1"/>
    <col min="3571" max="3571" width="11.1640625" style="55" customWidth="1"/>
    <col min="3572" max="3572" width="9.1640625" style="55"/>
    <col min="3573" max="3573" width="10.33203125" style="55" customWidth="1"/>
    <col min="3574" max="3574" width="7.6640625" style="55" customWidth="1"/>
    <col min="3575" max="3575" width="12.6640625" style="55" customWidth="1"/>
    <col min="3576" max="3576" width="10.6640625" style="55" customWidth="1"/>
    <col min="3577" max="3577" width="12.83203125" style="55" customWidth="1"/>
    <col min="3578" max="3578" width="10.83203125" style="55" customWidth="1"/>
    <col min="3579" max="3579" width="12.5" style="55" customWidth="1"/>
    <col min="3580" max="3580" width="10.5" style="55" customWidth="1"/>
    <col min="3581" max="3581" width="13.1640625" style="55" customWidth="1"/>
    <col min="3582" max="3582" width="9.83203125" style="55" customWidth="1"/>
    <col min="3583" max="3583" width="13.6640625" style="55" customWidth="1"/>
    <col min="3584" max="3584" width="9.5" style="55" customWidth="1"/>
    <col min="3585" max="3585" width="12.5" style="55" customWidth="1"/>
    <col min="3586" max="3586" width="10" style="55" customWidth="1"/>
    <col min="3587" max="3587" width="13" style="55" customWidth="1"/>
    <col min="3588" max="3588" width="11" style="55" customWidth="1"/>
    <col min="3589" max="3589" width="13.83203125" style="55" customWidth="1"/>
    <col min="3590" max="3590" width="11.33203125" style="55" customWidth="1"/>
    <col min="3591" max="3591" width="13" style="55" customWidth="1"/>
    <col min="3592" max="3592" width="9" style="55" customWidth="1"/>
    <col min="3593" max="3593" width="3.83203125" style="55" customWidth="1"/>
    <col min="3594" max="3594" width="18.5" style="55" customWidth="1"/>
    <col min="3595" max="3595" width="10" style="55" customWidth="1"/>
    <col min="3596" max="3819" width="9.1640625" style="55"/>
    <col min="3820" max="3820" width="25.6640625" style="55" customWidth="1"/>
    <col min="3821" max="3821" width="9" style="55" customWidth="1"/>
    <col min="3822" max="3822" width="22" style="55" customWidth="1"/>
    <col min="3823" max="3823" width="4.5" style="55" customWidth="1"/>
    <col min="3824" max="3824" width="13.33203125" style="55" customWidth="1"/>
    <col min="3825" max="3825" width="14.1640625" style="55" customWidth="1"/>
    <col min="3826" max="3826" width="9.33203125" style="55" customWidth="1"/>
    <col min="3827" max="3827" width="11.1640625" style="55" customWidth="1"/>
    <col min="3828" max="3828" width="9.1640625" style="55"/>
    <col min="3829" max="3829" width="10.33203125" style="55" customWidth="1"/>
    <col min="3830" max="3830" width="7.6640625" style="55" customWidth="1"/>
    <col min="3831" max="3831" width="12.6640625" style="55" customWidth="1"/>
    <col min="3832" max="3832" width="10.6640625" style="55" customWidth="1"/>
    <col min="3833" max="3833" width="12.83203125" style="55" customWidth="1"/>
    <col min="3834" max="3834" width="10.83203125" style="55" customWidth="1"/>
    <col min="3835" max="3835" width="12.5" style="55" customWidth="1"/>
    <col min="3836" max="3836" width="10.5" style="55" customWidth="1"/>
    <col min="3837" max="3837" width="13.1640625" style="55" customWidth="1"/>
    <col min="3838" max="3838" width="9.83203125" style="55" customWidth="1"/>
    <col min="3839" max="3839" width="13.6640625" style="55" customWidth="1"/>
    <col min="3840" max="3840" width="9.5" style="55" customWidth="1"/>
    <col min="3841" max="3841" width="12.5" style="55" customWidth="1"/>
    <col min="3842" max="3842" width="10" style="55" customWidth="1"/>
    <col min="3843" max="3843" width="13" style="55" customWidth="1"/>
    <col min="3844" max="3844" width="11" style="55" customWidth="1"/>
    <col min="3845" max="3845" width="13.83203125" style="55" customWidth="1"/>
    <col min="3846" max="3846" width="11.33203125" style="55" customWidth="1"/>
    <col min="3847" max="3847" width="13" style="55" customWidth="1"/>
    <col min="3848" max="3848" width="9" style="55" customWidth="1"/>
    <col min="3849" max="3849" width="3.83203125" style="55" customWidth="1"/>
    <col min="3850" max="3850" width="18.5" style="55" customWidth="1"/>
    <col min="3851" max="3851" width="10" style="55" customWidth="1"/>
    <col min="3852" max="4075" width="9.1640625" style="55"/>
    <col min="4076" max="4076" width="25.6640625" style="55" customWidth="1"/>
    <col min="4077" max="4077" width="9" style="55" customWidth="1"/>
    <col min="4078" max="4078" width="22" style="55" customWidth="1"/>
    <col min="4079" max="4079" width="4.5" style="55" customWidth="1"/>
    <col min="4080" max="4080" width="13.33203125" style="55" customWidth="1"/>
    <col min="4081" max="4081" width="14.1640625" style="55" customWidth="1"/>
    <col min="4082" max="4082" width="9.33203125" style="55" customWidth="1"/>
    <col min="4083" max="4083" width="11.1640625" style="55" customWidth="1"/>
    <col min="4084" max="4084" width="9.1640625" style="55"/>
    <col min="4085" max="4085" width="10.33203125" style="55" customWidth="1"/>
    <col min="4086" max="4086" width="7.6640625" style="55" customWidth="1"/>
    <col min="4087" max="4087" width="12.6640625" style="55" customWidth="1"/>
    <col min="4088" max="4088" width="10.6640625" style="55" customWidth="1"/>
    <col min="4089" max="4089" width="12.83203125" style="55" customWidth="1"/>
    <col min="4090" max="4090" width="10.83203125" style="55" customWidth="1"/>
    <col min="4091" max="4091" width="12.5" style="55" customWidth="1"/>
    <col min="4092" max="4092" width="10.5" style="55" customWidth="1"/>
    <col min="4093" max="4093" width="13.1640625" style="55" customWidth="1"/>
    <col min="4094" max="4094" width="9.83203125" style="55" customWidth="1"/>
    <col min="4095" max="4095" width="13.6640625" style="55" customWidth="1"/>
    <col min="4096" max="4096" width="9.5" style="55" customWidth="1"/>
    <col min="4097" max="4097" width="12.5" style="55" customWidth="1"/>
    <col min="4098" max="4098" width="10" style="55" customWidth="1"/>
    <col min="4099" max="4099" width="13" style="55" customWidth="1"/>
    <col min="4100" max="4100" width="11" style="55" customWidth="1"/>
    <col min="4101" max="4101" width="13.83203125" style="55" customWidth="1"/>
    <col min="4102" max="4102" width="11.33203125" style="55" customWidth="1"/>
    <col min="4103" max="4103" width="13" style="55" customWidth="1"/>
    <col min="4104" max="4104" width="9" style="55" customWidth="1"/>
    <col min="4105" max="4105" width="3.83203125" style="55" customWidth="1"/>
    <col min="4106" max="4106" width="18.5" style="55" customWidth="1"/>
    <col min="4107" max="4107" width="10" style="55" customWidth="1"/>
    <col min="4108" max="4331" width="9.1640625" style="55"/>
    <col min="4332" max="4332" width="25.6640625" style="55" customWidth="1"/>
    <col min="4333" max="4333" width="9" style="55" customWidth="1"/>
    <col min="4334" max="4334" width="22" style="55" customWidth="1"/>
    <col min="4335" max="4335" width="4.5" style="55" customWidth="1"/>
    <col min="4336" max="4336" width="13.33203125" style="55" customWidth="1"/>
    <col min="4337" max="4337" width="14.1640625" style="55" customWidth="1"/>
    <col min="4338" max="4338" width="9.33203125" style="55" customWidth="1"/>
    <col min="4339" max="4339" width="11.1640625" style="55" customWidth="1"/>
    <col min="4340" max="4340" width="9.1640625" style="55"/>
    <col min="4341" max="4341" width="10.33203125" style="55" customWidth="1"/>
    <col min="4342" max="4342" width="7.6640625" style="55" customWidth="1"/>
    <col min="4343" max="4343" width="12.6640625" style="55" customWidth="1"/>
    <col min="4344" max="4344" width="10.6640625" style="55" customWidth="1"/>
    <col min="4345" max="4345" width="12.83203125" style="55" customWidth="1"/>
    <col min="4346" max="4346" width="10.83203125" style="55" customWidth="1"/>
    <col min="4347" max="4347" width="12.5" style="55" customWidth="1"/>
    <col min="4348" max="4348" width="10.5" style="55" customWidth="1"/>
    <col min="4349" max="4349" width="13.1640625" style="55" customWidth="1"/>
    <col min="4350" max="4350" width="9.83203125" style="55" customWidth="1"/>
    <col min="4351" max="4351" width="13.6640625" style="55" customWidth="1"/>
    <col min="4352" max="4352" width="9.5" style="55" customWidth="1"/>
    <col min="4353" max="4353" width="12.5" style="55" customWidth="1"/>
    <col min="4354" max="4354" width="10" style="55" customWidth="1"/>
    <col min="4355" max="4355" width="13" style="55" customWidth="1"/>
    <col min="4356" max="4356" width="11" style="55" customWidth="1"/>
    <col min="4357" max="4357" width="13.83203125" style="55" customWidth="1"/>
    <col min="4358" max="4358" width="11.33203125" style="55" customWidth="1"/>
    <col min="4359" max="4359" width="13" style="55" customWidth="1"/>
    <col min="4360" max="4360" width="9" style="55" customWidth="1"/>
    <col min="4361" max="4361" width="3.83203125" style="55" customWidth="1"/>
    <col min="4362" max="4362" width="18.5" style="55" customWidth="1"/>
    <col min="4363" max="4363" width="10" style="55" customWidth="1"/>
    <col min="4364" max="4587" width="9.1640625" style="55"/>
    <col min="4588" max="4588" width="25.6640625" style="55" customWidth="1"/>
    <col min="4589" max="4589" width="9" style="55" customWidth="1"/>
    <col min="4590" max="4590" width="22" style="55" customWidth="1"/>
    <col min="4591" max="4591" width="4.5" style="55" customWidth="1"/>
    <col min="4592" max="4592" width="13.33203125" style="55" customWidth="1"/>
    <col min="4593" max="4593" width="14.1640625" style="55" customWidth="1"/>
    <col min="4594" max="4594" width="9.33203125" style="55" customWidth="1"/>
    <col min="4595" max="4595" width="11.1640625" style="55" customWidth="1"/>
    <col min="4596" max="4596" width="9.1640625" style="55"/>
    <col min="4597" max="4597" width="10.33203125" style="55" customWidth="1"/>
    <col min="4598" max="4598" width="7.6640625" style="55" customWidth="1"/>
    <col min="4599" max="4599" width="12.6640625" style="55" customWidth="1"/>
    <col min="4600" max="4600" width="10.6640625" style="55" customWidth="1"/>
    <col min="4601" max="4601" width="12.83203125" style="55" customWidth="1"/>
    <col min="4602" max="4602" width="10.83203125" style="55" customWidth="1"/>
    <col min="4603" max="4603" width="12.5" style="55" customWidth="1"/>
    <col min="4604" max="4604" width="10.5" style="55" customWidth="1"/>
    <col min="4605" max="4605" width="13.1640625" style="55" customWidth="1"/>
    <col min="4606" max="4606" width="9.83203125" style="55" customWidth="1"/>
    <col min="4607" max="4607" width="13.6640625" style="55" customWidth="1"/>
    <col min="4608" max="4608" width="9.5" style="55" customWidth="1"/>
    <col min="4609" max="4609" width="12.5" style="55" customWidth="1"/>
    <col min="4610" max="4610" width="10" style="55" customWidth="1"/>
    <col min="4611" max="4611" width="13" style="55" customWidth="1"/>
    <col min="4612" max="4612" width="11" style="55" customWidth="1"/>
    <col min="4613" max="4613" width="13.83203125" style="55" customWidth="1"/>
    <col min="4614" max="4614" width="11.33203125" style="55" customWidth="1"/>
    <col min="4615" max="4615" width="13" style="55" customWidth="1"/>
    <col min="4616" max="4616" width="9" style="55" customWidth="1"/>
    <col min="4617" max="4617" width="3.83203125" style="55" customWidth="1"/>
    <col min="4618" max="4618" width="18.5" style="55" customWidth="1"/>
    <col min="4619" max="4619" width="10" style="55" customWidth="1"/>
    <col min="4620" max="4843" width="9.1640625" style="55"/>
    <col min="4844" max="4844" width="25.6640625" style="55" customWidth="1"/>
    <col min="4845" max="4845" width="9" style="55" customWidth="1"/>
    <col min="4846" max="4846" width="22" style="55" customWidth="1"/>
    <col min="4847" max="4847" width="4.5" style="55" customWidth="1"/>
    <col min="4848" max="4848" width="13.33203125" style="55" customWidth="1"/>
    <col min="4849" max="4849" width="14.1640625" style="55" customWidth="1"/>
    <col min="4850" max="4850" width="9.33203125" style="55" customWidth="1"/>
    <col min="4851" max="4851" width="11.1640625" style="55" customWidth="1"/>
    <col min="4852" max="4852" width="9.1640625" style="55"/>
    <col min="4853" max="4853" width="10.33203125" style="55" customWidth="1"/>
    <col min="4854" max="4854" width="7.6640625" style="55" customWidth="1"/>
    <col min="4855" max="4855" width="12.6640625" style="55" customWidth="1"/>
    <col min="4856" max="4856" width="10.6640625" style="55" customWidth="1"/>
    <col min="4857" max="4857" width="12.83203125" style="55" customWidth="1"/>
    <col min="4858" max="4858" width="10.83203125" style="55" customWidth="1"/>
    <col min="4859" max="4859" width="12.5" style="55" customWidth="1"/>
    <col min="4860" max="4860" width="10.5" style="55" customWidth="1"/>
    <col min="4861" max="4861" width="13.1640625" style="55" customWidth="1"/>
    <col min="4862" max="4862" width="9.83203125" style="55" customWidth="1"/>
    <col min="4863" max="4863" width="13.6640625" style="55" customWidth="1"/>
    <col min="4864" max="4864" width="9.5" style="55" customWidth="1"/>
    <col min="4865" max="4865" width="12.5" style="55" customWidth="1"/>
    <col min="4866" max="4866" width="10" style="55" customWidth="1"/>
    <col min="4867" max="4867" width="13" style="55" customWidth="1"/>
    <col min="4868" max="4868" width="11" style="55" customWidth="1"/>
    <col min="4869" max="4869" width="13.83203125" style="55" customWidth="1"/>
    <col min="4870" max="4870" width="11.33203125" style="55" customWidth="1"/>
    <col min="4871" max="4871" width="13" style="55" customWidth="1"/>
    <col min="4872" max="4872" width="9" style="55" customWidth="1"/>
    <col min="4873" max="4873" width="3.83203125" style="55" customWidth="1"/>
    <col min="4874" max="4874" width="18.5" style="55" customWidth="1"/>
    <col min="4875" max="4875" width="10" style="55" customWidth="1"/>
    <col min="4876" max="5099" width="9.1640625" style="55"/>
    <col min="5100" max="5100" width="25.6640625" style="55" customWidth="1"/>
    <col min="5101" max="5101" width="9" style="55" customWidth="1"/>
    <col min="5102" max="5102" width="22" style="55" customWidth="1"/>
    <col min="5103" max="5103" width="4.5" style="55" customWidth="1"/>
    <col min="5104" max="5104" width="13.33203125" style="55" customWidth="1"/>
    <col min="5105" max="5105" width="14.1640625" style="55" customWidth="1"/>
    <col min="5106" max="5106" width="9.33203125" style="55" customWidth="1"/>
    <col min="5107" max="5107" width="11.1640625" style="55" customWidth="1"/>
    <col min="5108" max="5108" width="9.1640625" style="55"/>
    <col min="5109" max="5109" width="10.33203125" style="55" customWidth="1"/>
    <col min="5110" max="5110" width="7.6640625" style="55" customWidth="1"/>
    <col min="5111" max="5111" width="12.6640625" style="55" customWidth="1"/>
    <col min="5112" max="5112" width="10.6640625" style="55" customWidth="1"/>
    <col min="5113" max="5113" width="12.83203125" style="55" customWidth="1"/>
    <col min="5114" max="5114" width="10.83203125" style="55" customWidth="1"/>
    <col min="5115" max="5115" width="12.5" style="55" customWidth="1"/>
    <col min="5116" max="5116" width="10.5" style="55" customWidth="1"/>
    <col min="5117" max="5117" width="13.1640625" style="55" customWidth="1"/>
    <col min="5118" max="5118" width="9.83203125" style="55" customWidth="1"/>
    <col min="5119" max="5119" width="13.6640625" style="55" customWidth="1"/>
    <col min="5120" max="5120" width="9.5" style="55" customWidth="1"/>
    <col min="5121" max="5121" width="12.5" style="55" customWidth="1"/>
    <col min="5122" max="5122" width="10" style="55" customWidth="1"/>
    <col min="5123" max="5123" width="13" style="55" customWidth="1"/>
    <col min="5124" max="5124" width="11" style="55" customWidth="1"/>
    <col min="5125" max="5125" width="13.83203125" style="55" customWidth="1"/>
    <col min="5126" max="5126" width="11.33203125" style="55" customWidth="1"/>
    <col min="5127" max="5127" width="13" style="55" customWidth="1"/>
    <col min="5128" max="5128" width="9" style="55" customWidth="1"/>
    <col min="5129" max="5129" width="3.83203125" style="55" customWidth="1"/>
    <col min="5130" max="5130" width="18.5" style="55" customWidth="1"/>
    <col min="5131" max="5131" width="10" style="55" customWidth="1"/>
    <col min="5132" max="5355" width="9.1640625" style="55"/>
    <col min="5356" max="5356" width="25.6640625" style="55" customWidth="1"/>
    <col min="5357" max="5357" width="9" style="55" customWidth="1"/>
    <col min="5358" max="5358" width="22" style="55" customWidth="1"/>
    <col min="5359" max="5359" width="4.5" style="55" customWidth="1"/>
    <col min="5360" max="5360" width="13.33203125" style="55" customWidth="1"/>
    <col min="5361" max="5361" width="14.1640625" style="55" customWidth="1"/>
    <col min="5362" max="5362" width="9.33203125" style="55" customWidth="1"/>
    <col min="5363" max="5363" width="11.1640625" style="55" customWidth="1"/>
    <col min="5364" max="5364" width="9.1640625" style="55"/>
    <col min="5365" max="5365" width="10.33203125" style="55" customWidth="1"/>
    <col min="5366" max="5366" width="7.6640625" style="55" customWidth="1"/>
    <col min="5367" max="5367" width="12.6640625" style="55" customWidth="1"/>
    <col min="5368" max="5368" width="10.6640625" style="55" customWidth="1"/>
    <col min="5369" max="5369" width="12.83203125" style="55" customWidth="1"/>
    <col min="5370" max="5370" width="10.83203125" style="55" customWidth="1"/>
    <col min="5371" max="5371" width="12.5" style="55" customWidth="1"/>
    <col min="5372" max="5372" width="10.5" style="55" customWidth="1"/>
    <col min="5373" max="5373" width="13.1640625" style="55" customWidth="1"/>
    <col min="5374" max="5374" width="9.83203125" style="55" customWidth="1"/>
    <col min="5375" max="5375" width="13.6640625" style="55" customWidth="1"/>
    <col min="5376" max="5376" width="9.5" style="55" customWidth="1"/>
    <col min="5377" max="5377" width="12.5" style="55" customWidth="1"/>
    <col min="5378" max="5378" width="10" style="55" customWidth="1"/>
    <col min="5379" max="5379" width="13" style="55" customWidth="1"/>
    <col min="5380" max="5380" width="11" style="55" customWidth="1"/>
    <col min="5381" max="5381" width="13.83203125" style="55" customWidth="1"/>
    <col min="5382" max="5382" width="11.33203125" style="55" customWidth="1"/>
    <col min="5383" max="5383" width="13" style="55" customWidth="1"/>
    <col min="5384" max="5384" width="9" style="55" customWidth="1"/>
    <col min="5385" max="5385" width="3.83203125" style="55" customWidth="1"/>
    <col min="5386" max="5386" width="18.5" style="55" customWidth="1"/>
    <col min="5387" max="5387" width="10" style="55" customWidth="1"/>
    <col min="5388" max="5611" width="9.1640625" style="55"/>
    <col min="5612" max="5612" width="25.6640625" style="55" customWidth="1"/>
    <col min="5613" max="5613" width="9" style="55" customWidth="1"/>
    <col min="5614" max="5614" width="22" style="55" customWidth="1"/>
    <col min="5615" max="5615" width="4.5" style="55" customWidth="1"/>
    <col min="5616" max="5616" width="13.33203125" style="55" customWidth="1"/>
    <col min="5617" max="5617" width="14.1640625" style="55" customWidth="1"/>
    <col min="5618" max="5618" width="9.33203125" style="55" customWidth="1"/>
    <col min="5619" max="5619" width="11.1640625" style="55" customWidth="1"/>
    <col min="5620" max="5620" width="9.1640625" style="55"/>
    <col min="5621" max="5621" width="10.33203125" style="55" customWidth="1"/>
    <col min="5622" max="5622" width="7.6640625" style="55" customWidth="1"/>
    <col min="5623" max="5623" width="12.6640625" style="55" customWidth="1"/>
    <col min="5624" max="5624" width="10.6640625" style="55" customWidth="1"/>
    <col min="5625" max="5625" width="12.83203125" style="55" customWidth="1"/>
    <col min="5626" max="5626" width="10.83203125" style="55" customWidth="1"/>
    <col min="5627" max="5627" width="12.5" style="55" customWidth="1"/>
    <col min="5628" max="5628" width="10.5" style="55" customWidth="1"/>
    <col min="5629" max="5629" width="13.1640625" style="55" customWidth="1"/>
    <col min="5630" max="5630" width="9.83203125" style="55" customWidth="1"/>
    <col min="5631" max="5631" width="13.6640625" style="55" customWidth="1"/>
    <col min="5632" max="5632" width="9.5" style="55" customWidth="1"/>
    <col min="5633" max="5633" width="12.5" style="55" customWidth="1"/>
    <col min="5634" max="5634" width="10" style="55" customWidth="1"/>
    <col min="5635" max="5635" width="13" style="55" customWidth="1"/>
    <col min="5636" max="5636" width="11" style="55" customWidth="1"/>
    <col min="5637" max="5637" width="13.83203125" style="55" customWidth="1"/>
    <col min="5638" max="5638" width="11.33203125" style="55" customWidth="1"/>
    <col min="5639" max="5639" width="13" style="55" customWidth="1"/>
    <col min="5640" max="5640" width="9" style="55" customWidth="1"/>
    <col min="5641" max="5641" width="3.83203125" style="55" customWidth="1"/>
    <col min="5642" max="5642" width="18.5" style="55" customWidth="1"/>
    <col min="5643" max="5643" width="10" style="55" customWidth="1"/>
    <col min="5644" max="5867" width="9.1640625" style="55"/>
    <col min="5868" max="5868" width="25.6640625" style="55" customWidth="1"/>
    <col min="5869" max="5869" width="9" style="55" customWidth="1"/>
    <col min="5870" max="5870" width="22" style="55" customWidth="1"/>
    <col min="5871" max="5871" width="4.5" style="55" customWidth="1"/>
    <col min="5872" max="5872" width="13.33203125" style="55" customWidth="1"/>
    <col min="5873" max="5873" width="14.1640625" style="55" customWidth="1"/>
    <col min="5874" max="5874" width="9.33203125" style="55" customWidth="1"/>
    <col min="5875" max="5875" width="11.1640625" style="55" customWidth="1"/>
    <col min="5876" max="5876" width="9.1640625" style="55"/>
    <col min="5877" max="5877" width="10.33203125" style="55" customWidth="1"/>
    <col min="5878" max="5878" width="7.6640625" style="55" customWidth="1"/>
    <col min="5879" max="5879" width="12.6640625" style="55" customWidth="1"/>
    <col min="5880" max="5880" width="10.6640625" style="55" customWidth="1"/>
    <col min="5881" max="5881" width="12.83203125" style="55" customWidth="1"/>
    <col min="5882" max="5882" width="10.83203125" style="55" customWidth="1"/>
    <col min="5883" max="5883" width="12.5" style="55" customWidth="1"/>
    <col min="5884" max="5884" width="10.5" style="55" customWidth="1"/>
    <col min="5885" max="5885" width="13.1640625" style="55" customWidth="1"/>
    <col min="5886" max="5886" width="9.83203125" style="55" customWidth="1"/>
    <col min="5887" max="5887" width="13.6640625" style="55" customWidth="1"/>
    <col min="5888" max="5888" width="9.5" style="55" customWidth="1"/>
    <col min="5889" max="5889" width="12.5" style="55" customWidth="1"/>
    <col min="5890" max="5890" width="10" style="55" customWidth="1"/>
    <col min="5891" max="5891" width="13" style="55" customWidth="1"/>
    <col min="5892" max="5892" width="11" style="55" customWidth="1"/>
    <col min="5893" max="5893" width="13.83203125" style="55" customWidth="1"/>
    <col min="5894" max="5894" width="11.33203125" style="55" customWidth="1"/>
    <col min="5895" max="5895" width="13" style="55" customWidth="1"/>
    <col min="5896" max="5896" width="9" style="55" customWidth="1"/>
    <col min="5897" max="5897" width="3.83203125" style="55" customWidth="1"/>
    <col min="5898" max="5898" width="18.5" style="55" customWidth="1"/>
    <col min="5899" max="5899" width="10" style="55" customWidth="1"/>
    <col min="5900" max="6123" width="9.1640625" style="55"/>
    <col min="6124" max="6124" width="25.6640625" style="55" customWidth="1"/>
    <col min="6125" max="6125" width="9" style="55" customWidth="1"/>
    <col min="6126" max="6126" width="22" style="55" customWidth="1"/>
    <col min="6127" max="6127" width="4.5" style="55" customWidth="1"/>
    <col min="6128" max="6128" width="13.33203125" style="55" customWidth="1"/>
    <col min="6129" max="6129" width="14.1640625" style="55" customWidth="1"/>
    <col min="6130" max="6130" width="9.33203125" style="55" customWidth="1"/>
    <col min="6131" max="6131" width="11.1640625" style="55" customWidth="1"/>
    <col min="6132" max="6132" width="9.1640625" style="55"/>
    <col min="6133" max="6133" width="10.33203125" style="55" customWidth="1"/>
    <col min="6134" max="6134" width="7.6640625" style="55" customWidth="1"/>
    <col min="6135" max="6135" width="12.6640625" style="55" customWidth="1"/>
    <col min="6136" max="6136" width="10.6640625" style="55" customWidth="1"/>
    <col min="6137" max="6137" width="12.83203125" style="55" customWidth="1"/>
    <col min="6138" max="6138" width="10.83203125" style="55" customWidth="1"/>
    <col min="6139" max="6139" width="12.5" style="55" customWidth="1"/>
    <col min="6140" max="6140" width="10.5" style="55" customWidth="1"/>
    <col min="6141" max="6141" width="13.1640625" style="55" customWidth="1"/>
    <col min="6142" max="6142" width="9.83203125" style="55" customWidth="1"/>
    <col min="6143" max="6143" width="13.6640625" style="55" customWidth="1"/>
    <col min="6144" max="6144" width="9.5" style="55" customWidth="1"/>
    <col min="6145" max="6145" width="12.5" style="55" customWidth="1"/>
    <col min="6146" max="6146" width="10" style="55" customWidth="1"/>
    <col min="6147" max="6147" width="13" style="55" customWidth="1"/>
    <col min="6148" max="6148" width="11" style="55" customWidth="1"/>
    <col min="6149" max="6149" width="13.83203125" style="55" customWidth="1"/>
    <col min="6150" max="6150" width="11.33203125" style="55" customWidth="1"/>
    <col min="6151" max="6151" width="13" style="55" customWidth="1"/>
    <col min="6152" max="6152" width="9" style="55" customWidth="1"/>
    <col min="6153" max="6153" width="3.83203125" style="55" customWidth="1"/>
    <col min="6154" max="6154" width="18.5" style="55" customWidth="1"/>
    <col min="6155" max="6155" width="10" style="55" customWidth="1"/>
    <col min="6156" max="6379" width="9.1640625" style="55"/>
    <col min="6380" max="6380" width="25.6640625" style="55" customWidth="1"/>
    <col min="6381" max="6381" width="9" style="55" customWidth="1"/>
    <col min="6382" max="6382" width="22" style="55" customWidth="1"/>
    <col min="6383" max="6383" width="4.5" style="55" customWidth="1"/>
    <col min="6384" max="6384" width="13.33203125" style="55" customWidth="1"/>
    <col min="6385" max="6385" width="14.1640625" style="55" customWidth="1"/>
    <col min="6386" max="6386" width="9.33203125" style="55" customWidth="1"/>
    <col min="6387" max="6387" width="11.1640625" style="55" customWidth="1"/>
    <col min="6388" max="6388" width="9.1640625" style="55"/>
    <col min="6389" max="6389" width="10.33203125" style="55" customWidth="1"/>
    <col min="6390" max="6390" width="7.6640625" style="55" customWidth="1"/>
    <col min="6391" max="6391" width="12.6640625" style="55" customWidth="1"/>
    <col min="6392" max="6392" width="10.6640625" style="55" customWidth="1"/>
    <col min="6393" max="6393" width="12.83203125" style="55" customWidth="1"/>
    <col min="6394" max="6394" width="10.83203125" style="55" customWidth="1"/>
    <col min="6395" max="6395" width="12.5" style="55" customWidth="1"/>
    <col min="6396" max="6396" width="10.5" style="55" customWidth="1"/>
    <col min="6397" max="6397" width="13.1640625" style="55" customWidth="1"/>
    <col min="6398" max="6398" width="9.83203125" style="55" customWidth="1"/>
    <col min="6399" max="6399" width="13.6640625" style="55" customWidth="1"/>
    <col min="6400" max="6400" width="9.5" style="55" customWidth="1"/>
    <col min="6401" max="6401" width="12.5" style="55" customWidth="1"/>
    <col min="6402" max="6402" width="10" style="55" customWidth="1"/>
    <col min="6403" max="6403" width="13" style="55" customWidth="1"/>
    <col min="6404" max="6404" width="11" style="55" customWidth="1"/>
    <col min="6405" max="6405" width="13.83203125" style="55" customWidth="1"/>
    <col min="6406" max="6406" width="11.33203125" style="55" customWidth="1"/>
    <col min="6407" max="6407" width="13" style="55" customWidth="1"/>
    <col min="6408" max="6408" width="9" style="55" customWidth="1"/>
    <col min="6409" max="6409" width="3.83203125" style="55" customWidth="1"/>
    <col min="6410" max="6410" width="18.5" style="55" customWidth="1"/>
    <col min="6411" max="6411" width="10" style="55" customWidth="1"/>
    <col min="6412" max="6635" width="9.1640625" style="55"/>
    <col min="6636" max="6636" width="25.6640625" style="55" customWidth="1"/>
    <col min="6637" max="6637" width="9" style="55" customWidth="1"/>
    <col min="6638" max="6638" width="22" style="55" customWidth="1"/>
    <col min="6639" max="6639" width="4.5" style="55" customWidth="1"/>
    <col min="6640" max="6640" width="13.33203125" style="55" customWidth="1"/>
    <col min="6641" max="6641" width="14.1640625" style="55" customWidth="1"/>
    <col min="6642" max="6642" width="9.33203125" style="55" customWidth="1"/>
    <col min="6643" max="6643" width="11.1640625" style="55" customWidth="1"/>
    <col min="6644" max="6644" width="9.1640625" style="55"/>
    <col min="6645" max="6645" width="10.33203125" style="55" customWidth="1"/>
    <col min="6646" max="6646" width="7.6640625" style="55" customWidth="1"/>
    <col min="6647" max="6647" width="12.6640625" style="55" customWidth="1"/>
    <col min="6648" max="6648" width="10.6640625" style="55" customWidth="1"/>
    <col min="6649" max="6649" width="12.83203125" style="55" customWidth="1"/>
    <col min="6650" max="6650" width="10.83203125" style="55" customWidth="1"/>
    <col min="6651" max="6651" width="12.5" style="55" customWidth="1"/>
    <col min="6652" max="6652" width="10.5" style="55" customWidth="1"/>
    <col min="6653" max="6653" width="13.1640625" style="55" customWidth="1"/>
    <col min="6654" max="6654" width="9.83203125" style="55" customWidth="1"/>
    <col min="6655" max="6655" width="13.6640625" style="55" customWidth="1"/>
    <col min="6656" max="6656" width="9.5" style="55" customWidth="1"/>
    <col min="6657" max="6657" width="12.5" style="55" customWidth="1"/>
    <col min="6658" max="6658" width="10" style="55" customWidth="1"/>
    <col min="6659" max="6659" width="13" style="55" customWidth="1"/>
    <col min="6660" max="6660" width="11" style="55" customWidth="1"/>
    <col min="6661" max="6661" width="13.83203125" style="55" customWidth="1"/>
    <col min="6662" max="6662" width="11.33203125" style="55" customWidth="1"/>
    <col min="6663" max="6663" width="13" style="55" customWidth="1"/>
    <col min="6664" max="6664" width="9" style="55" customWidth="1"/>
    <col min="6665" max="6665" width="3.83203125" style="55" customWidth="1"/>
    <col min="6666" max="6666" width="18.5" style="55" customWidth="1"/>
    <col min="6667" max="6667" width="10" style="55" customWidth="1"/>
    <col min="6668" max="6891" width="9.1640625" style="55"/>
    <col min="6892" max="6892" width="25.6640625" style="55" customWidth="1"/>
    <col min="6893" max="6893" width="9" style="55" customWidth="1"/>
    <col min="6894" max="6894" width="22" style="55" customWidth="1"/>
    <col min="6895" max="6895" width="4.5" style="55" customWidth="1"/>
    <col min="6896" max="6896" width="13.33203125" style="55" customWidth="1"/>
    <col min="6897" max="6897" width="14.1640625" style="55" customWidth="1"/>
    <col min="6898" max="6898" width="9.33203125" style="55" customWidth="1"/>
    <col min="6899" max="6899" width="11.1640625" style="55" customWidth="1"/>
    <col min="6900" max="6900" width="9.1640625" style="55"/>
    <col min="6901" max="6901" width="10.33203125" style="55" customWidth="1"/>
    <col min="6902" max="6902" width="7.6640625" style="55" customWidth="1"/>
    <col min="6903" max="6903" width="12.6640625" style="55" customWidth="1"/>
    <col min="6904" max="6904" width="10.6640625" style="55" customWidth="1"/>
    <col min="6905" max="6905" width="12.83203125" style="55" customWidth="1"/>
    <col min="6906" max="6906" width="10.83203125" style="55" customWidth="1"/>
    <col min="6907" max="6907" width="12.5" style="55" customWidth="1"/>
    <col min="6908" max="6908" width="10.5" style="55" customWidth="1"/>
    <col min="6909" max="6909" width="13.1640625" style="55" customWidth="1"/>
    <col min="6910" max="6910" width="9.83203125" style="55" customWidth="1"/>
    <col min="6911" max="6911" width="13.6640625" style="55" customWidth="1"/>
    <col min="6912" max="6912" width="9.5" style="55" customWidth="1"/>
    <col min="6913" max="6913" width="12.5" style="55" customWidth="1"/>
    <col min="6914" max="6914" width="10" style="55" customWidth="1"/>
    <col min="6915" max="6915" width="13" style="55" customWidth="1"/>
    <col min="6916" max="6916" width="11" style="55" customWidth="1"/>
    <col min="6917" max="6917" width="13.83203125" style="55" customWidth="1"/>
    <col min="6918" max="6918" width="11.33203125" style="55" customWidth="1"/>
    <col min="6919" max="6919" width="13" style="55" customWidth="1"/>
    <col min="6920" max="6920" width="9" style="55" customWidth="1"/>
    <col min="6921" max="6921" width="3.83203125" style="55" customWidth="1"/>
    <col min="6922" max="6922" width="18.5" style="55" customWidth="1"/>
    <col min="6923" max="6923" width="10" style="55" customWidth="1"/>
    <col min="6924" max="7147" width="9.1640625" style="55"/>
    <col min="7148" max="7148" width="25.6640625" style="55" customWidth="1"/>
    <col min="7149" max="7149" width="9" style="55" customWidth="1"/>
    <col min="7150" max="7150" width="22" style="55" customWidth="1"/>
    <col min="7151" max="7151" width="4.5" style="55" customWidth="1"/>
    <col min="7152" max="7152" width="13.33203125" style="55" customWidth="1"/>
    <col min="7153" max="7153" width="14.1640625" style="55" customWidth="1"/>
    <col min="7154" max="7154" width="9.33203125" style="55" customWidth="1"/>
    <col min="7155" max="7155" width="11.1640625" style="55" customWidth="1"/>
    <col min="7156" max="7156" width="9.1640625" style="55"/>
    <col min="7157" max="7157" width="10.33203125" style="55" customWidth="1"/>
    <col min="7158" max="7158" width="7.6640625" style="55" customWidth="1"/>
    <col min="7159" max="7159" width="12.6640625" style="55" customWidth="1"/>
    <col min="7160" max="7160" width="10.6640625" style="55" customWidth="1"/>
    <col min="7161" max="7161" width="12.83203125" style="55" customWidth="1"/>
    <col min="7162" max="7162" width="10.83203125" style="55" customWidth="1"/>
    <col min="7163" max="7163" width="12.5" style="55" customWidth="1"/>
    <col min="7164" max="7164" width="10.5" style="55" customWidth="1"/>
    <col min="7165" max="7165" width="13.1640625" style="55" customWidth="1"/>
    <col min="7166" max="7166" width="9.83203125" style="55" customWidth="1"/>
    <col min="7167" max="7167" width="13.6640625" style="55" customWidth="1"/>
    <col min="7168" max="7168" width="9.5" style="55" customWidth="1"/>
    <col min="7169" max="7169" width="12.5" style="55" customWidth="1"/>
    <col min="7170" max="7170" width="10" style="55" customWidth="1"/>
    <col min="7171" max="7171" width="13" style="55" customWidth="1"/>
    <col min="7172" max="7172" width="11" style="55" customWidth="1"/>
    <col min="7173" max="7173" width="13.83203125" style="55" customWidth="1"/>
    <col min="7174" max="7174" width="11.33203125" style="55" customWidth="1"/>
    <col min="7175" max="7175" width="13" style="55" customWidth="1"/>
    <col min="7176" max="7176" width="9" style="55" customWidth="1"/>
    <col min="7177" max="7177" width="3.83203125" style="55" customWidth="1"/>
    <col min="7178" max="7178" width="18.5" style="55" customWidth="1"/>
    <col min="7179" max="7179" width="10" style="55" customWidth="1"/>
    <col min="7180" max="7403" width="9.1640625" style="55"/>
    <col min="7404" max="7404" width="25.6640625" style="55" customWidth="1"/>
    <col min="7405" max="7405" width="9" style="55" customWidth="1"/>
    <col min="7406" max="7406" width="22" style="55" customWidth="1"/>
    <col min="7407" max="7407" width="4.5" style="55" customWidth="1"/>
    <col min="7408" max="7408" width="13.33203125" style="55" customWidth="1"/>
    <col min="7409" max="7409" width="14.1640625" style="55" customWidth="1"/>
    <col min="7410" max="7410" width="9.33203125" style="55" customWidth="1"/>
    <col min="7411" max="7411" width="11.1640625" style="55" customWidth="1"/>
    <col min="7412" max="7412" width="9.1640625" style="55"/>
    <col min="7413" max="7413" width="10.33203125" style="55" customWidth="1"/>
    <col min="7414" max="7414" width="7.6640625" style="55" customWidth="1"/>
    <col min="7415" max="7415" width="12.6640625" style="55" customWidth="1"/>
    <col min="7416" max="7416" width="10.6640625" style="55" customWidth="1"/>
    <col min="7417" max="7417" width="12.83203125" style="55" customWidth="1"/>
    <col min="7418" max="7418" width="10.83203125" style="55" customWidth="1"/>
    <col min="7419" max="7419" width="12.5" style="55" customWidth="1"/>
    <col min="7420" max="7420" width="10.5" style="55" customWidth="1"/>
    <col min="7421" max="7421" width="13.1640625" style="55" customWidth="1"/>
    <col min="7422" max="7422" width="9.83203125" style="55" customWidth="1"/>
    <col min="7423" max="7423" width="13.6640625" style="55" customWidth="1"/>
    <col min="7424" max="7424" width="9.5" style="55" customWidth="1"/>
    <col min="7425" max="7425" width="12.5" style="55" customWidth="1"/>
    <col min="7426" max="7426" width="10" style="55" customWidth="1"/>
    <col min="7427" max="7427" width="13" style="55" customWidth="1"/>
    <col min="7428" max="7428" width="11" style="55" customWidth="1"/>
    <col min="7429" max="7429" width="13.83203125" style="55" customWidth="1"/>
    <col min="7430" max="7430" width="11.33203125" style="55" customWidth="1"/>
    <col min="7431" max="7431" width="13" style="55" customWidth="1"/>
    <col min="7432" max="7432" width="9" style="55" customWidth="1"/>
    <col min="7433" max="7433" width="3.83203125" style="55" customWidth="1"/>
    <col min="7434" max="7434" width="18.5" style="55" customWidth="1"/>
    <col min="7435" max="7435" width="10" style="55" customWidth="1"/>
    <col min="7436" max="7659" width="9.1640625" style="55"/>
    <col min="7660" max="7660" width="25.6640625" style="55" customWidth="1"/>
    <col min="7661" max="7661" width="9" style="55" customWidth="1"/>
    <col min="7662" max="7662" width="22" style="55" customWidth="1"/>
    <col min="7663" max="7663" width="4.5" style="55" customWidth="1"/>
    <col min="7664" max="7664" width="13.33203125" style="55" customWidth="1"/>
    <col min="7665" max="7665" width="14.1640625" style="55" customWidth="1"/>
    <col min="7666" max="7666" width="9.33203125" style="55" customWidth="1"/>
    <col min="7667" max="7667" width="11.1640625" style="55" customWidth="1"/>
    <col min="7668" max="7668" width="9.1640625" style="55"/>
    <col min="7669" max="7669" width="10.33203125" style="55" customWidth="1"/>
    <col min="7670" max="7670" width="7.6640625" style="55" customWidth="1"/>
    <col min="7671" max="7671" width="12.6640625" style="55" customWidth="1"/>
    <col min="7672" max="7672" width="10.6640625" style="55" customWidth="1"/>
    <col min="7673" max="7673" width="12.83203125" style="55" customWidth="1"/>
    <col min="7674" max="7674" width="10.83203125" style="55" customWidth="1"/>
    <col min="7675" max="7675" width="12.5" style="55" customWidth="1"/>
    <col min="7676" max="7676" width="10.5" style="55" customWidth="1"/>
    <col min="7677" max="7677" width="13.1640625" style="55" customWidth="1"/>
    <col min="7678" max="7678" width="9.83203125" style="55" customWidth="1"/>
    <col min="7679" max="7679" width="13.6640625" style="55" customWidth="1"/>
    <col min="7680" max="7680" width="9.5" style="55" customWidth="1"/>
    <col min="7681" max="7681" width="12.5" style="55" customWidth="1"/>
    <col min="7682" max="7682" width="10" style="55" customWidth="1"/>
    <col min="7683" max="7683" width="13" style="55" customWidth="1"/>
    <col min="7684" max="7684" width="11" style="55" customWidth="1"/>
    <col min="7685" max="7685" width="13.83203125" style="55" customWidth="1"/>
    <col min="7686" max="7686" width="11.33203125" style="55" customWidth="1"/>
    <col min="7687" max="7687" width="13" style="55" customWidth="1"/>
    <col min="7688" max="7688" width="9" style="55" customWidth="1"/>
    <col min="7689" max="7689" width="3.83203125" style="55" customWidth="1"/>
    <col min="7690" max="7690" width="18.5" style="55" customWidth="1"/>
    <col min="7691" max="7691" width="10" style="55" customWidth="1"/>
    <col min="7692" max="7915" width="9.1640625" style="55"/>
    <col min="7916" max="7916" width="25.6640625" style="55" customWidth="1"/>
    <col min="7917" max="7917" width="9" style="55" customWidth="1"/>
    <col min="7918" max="7918" width="22" style="55" customWidth="1"/>
    <col min="7919" max="7919" width="4.5" style="55" customWidth="1"/>
    <col min="7920" max="7920" width="13.33203125" style="55" customWidth="1"/>
    <col min="7921" max="7921" width="14.1640625" style="55" customWidth="1"/>
    <col min="7922" max="7922" width="9.33203125" style="55" customWidth="1"/>
    <col min="7923" max="7923" width="11.1640625" style="55" customWidth="1"/>
    <col min="7924" max="7924" width="9.1640625" style="55"/>
    <col min="7925" max="7925" width="10.33203125" style="55" customWidth="1"/>
    <col min="7926" max="7926" width="7.6640625" style="55" customWidth="1"/>
    <col min="7927" max="7927" width="12.6640625" style="55" customWidth="1"/>
    <col min="7928" max="7928" width="10.6640625" style="55" customWidth="1"/>
    <col min="7929" max="7929" width="12.83203125" style="55" customWidth="1"/>
    <col min="7930" max="7930" width="10.83203125" style="55" customWidth="1"/>
    <col min="7931" max="7931" width="12.5" style="55" customWidth="1"/>
    <col min="7932" max="7932" width="10.5" style="55" customWidth="1"/>
    <col min="7933" max="7933" width="13.1640625" style="55" customWidth="1"/>
    <col min="7934" max="7934" width="9.83203125" style="55" customWidth="1"/>
    <col min="7935" max="7935" width="13.6640625" style="55" customWidth="1"/>
    <col min="7936" max="7936" width="9.5" style="55" customWidth="1"/>
    <col min="7937" max="7937" width="12.5" style="55" customWidth="1"/>
    <col min="7938" max="7938" width="10" style="55" customWidth="1"/>
    <col min="7939" max="7939" width="13" style="55" customWidth="1"/>
    <col min="7940" max="7940" width="11" style="55" customWidth="1"/>
    <col min="7941" max="7941" width="13.83203125" style="55" customWidth="1"/>
    <col min="7942" max="7942" width="11.33203125" style="55" customWidth="1"/>
    <col min="7943" max="7943" width="13" style="55" customWidth="1"/>
    <col min="7944" max="7944" width="9" style="55" customWidth="1"/>
    <col min="7945" max="7945" width="3.83203125" style="55" customWidth="1"/>
    <col min="7946" max="7946" width="18.5" style="55" customWidth="1"/>
    <col min="7947" max="7947" width="10" style="55" customWidth="1"/>
    <col min="7948" max="8171" width="9.1640625" style="55"/>
    <col min="8172" max="8172" width="25.6640625" style="55" customWidth="1"/>
    <col min="8173" max="8173" width="9" style="55" customWidth="1"/>
    <col min="8174" max="8174" width="22" style="55" customWidth="1"/>
    <col min="8175" max="8175" width="4.5" style="55" customWidth="1"/>
    <col min="8176" max="8176" width="13.33203125" style="55" customWidth="1"/>
    <col min="8177" max="8177" width="14.1640625" style="55" customWidth="1"/>
    <col min="8178" max="8178" width="9.33203125" style="55" customWidth="1"/>
    <col min="8179" max="8179" width="11.1640625" style="55" customWidth="1"/>
    <col min="8180" max="8180" width="9.1640625" style="55"/>
    <col min="8181" max="8181" width="10.33203125" style="55" customWidth="1"/>
    <col min="8182" max="8182" width="7.6640625" style="55" customWidth="1"/>
    <col min="8183" max="8183" width="12.6640625" style="55" customWidth="1"/>
    <col min="8184" max="8184" width="10.6640625" style="55" customWidth="1"/>
    <col min="8185" max="8185" width="12.83203125" style="55" customWidth="1"/>
    <col min="8186" max="8186" width="10.83203125" style="55" customWidth="1"/>
    <col min="8187" max="8187" width="12.5" style="55" customWidth="1"/>
    <col min="8188" max="8188" width="10.5" style="55" customWidth="1"/>
    <col min="8189" max="8189" width="13.1640625" style="55" customWidth="1"/>
    <col min="8190" max="8190" width="9.83203125" style="55" customWidth="1"/>
    <col min="8191" max="8191" width="13.6640625" style="55" customWidth="1"/>
    <col min="8192" max="8192" width="9.5" style="55" customWidth="1"/>
    <col min="8193" max="8193" width="12.5" style="55" customWidth="1"/>
    <col min="8194" max="8194" width="10" style="55" customWidth="1"/>
    <col min="8195" max="8195" width="13" style="55" customWidth="1"/>
    <col min="8196" max="8196" width="11" style="55" customWidth="1"/>
    <col min="8197" max="8197" width="13.83203125" style="55" customWidth="1"/>
    <col min="8198" max="8198" width="11.33203125" style="55" customWidth="1"/>
    <col min="8199" max="8199" width="13" style="55" customWidth="1"/>
    <col min="8200" max="8200" width="9" style="55" customWidth="1"/>
    <col min="8201" max="8201" width="3.83203125" style="55" customWidth="1"/>
    <col min="8202" max="8202" width="18.5" style="55" customWidth="1"/>
    <col min="8203" max="8203" width="10" style="55" customWidth="1"/>
    <col min="8204" max="8427" width="9.1640625" style="55"/>
    <col min="8428" max="8428" width="25.6640625" style="55" customWidth="1"/>
    <col min="8429" max="8429" width="9" style="55" customWidth="1"/>
    <col min="8430" max="8430" width="22" style="55" customWidth="1"/>
    <col min="8431" max="8431" width="4.5" style="55" customWidth="1"/>
    <col min="8432" max="8432" width="13.33203125" style="55" customWidth="1"/>
    <col min="8433" max="8433" width="14.1640625" style="55" customWidth="1"/>
    <col min="8434" max="8434" width="9.33203125" style="55" customWidth="1"/>
    <col min="8435" max="8435" width="11.1640625" style="55" customWidth="1"/>
    <col min="8436" max="8436" width="9.1640625" style="55"/>
    <col min="8437" max="8437" width="10.33203125" style="55" customWidth="1"/>
    <col min="8438" max="8438" width="7.6640625" style="55" customWidth="1"/>
    <col min="8439" max="8439" width="12.6640625" style="55" customWidth="1"/>
    <col min="8440" max="8440" width="10.6640625" style="55" customWidth="1"/>
    <col min="8441" max="8441" width="12.83203125" style="55" customWidth="1"/>
    <col min="8442" max="8442" width="10.83203125" style="55" customWidth="1"/>
    <col min="8443" max="8443" width="12.5" style="55" customWidth="1"/>
    <col min="8444" max="8444" width="10.5" style="55" customWidth="1"/>
    <col min="8445" max="8445" width="13.1640625" style="55" customWidth="1"/>
    <col min="8446" max="8446" width="9.83203125" style="55" customWidth="1"/>
    <col min="8447" max="8447" width="13.6640625" style="55" customWidth="1"/>
    <col min="8448" max="8448" width="9.5" style="55" customWidth="1"/>
    <col min="8449" max="8449" width="12.5" style="55" customWidth="1"/>
    <col min="8450" max="8450" width="10" style="55" customWidth="1"/>
    <col min="8451" max="8451" width="13" style="55" customWidth="1"/>
    <col min="8452" max="8452" width="11" style="55" customWidth="1"/>
    <col min="8453" max="8453" width="13.83203125" style="55" customWidth="1"/>
    <col min="8454" max="8454" width="11.33203125" style="55" customWidth="1"/>
    <col min="8455" max="8455" width="13" style="55" customWidth="1"/>
    <col min="8456" max="8456" width="9" style="55" customWidth="1"/>
    <col min="8457" max="8457" width="3.83203125" style="55" customWidth="1"/>
    <col min="8458" max="8458" width="18.5" style="55" customWidth="1"/>
    <col min="8459" max="8459" width="10" style="55" customWidth="1"/>
    <col min="8460" max="8683" width="9.1640625" style="55"/>
    <col min="8684" max="8684" width="25.6640625" style="55" customWidth="1"/>
    <col min="8685" max="8685" width="9" style="55" customWidth="1"/>
    <col min="8686" max="8686" width="22" style="55" customWidth="1"/>
    <col min="8687" max="8687" width="4.5" style="55" customWidth="1"/>
    <col min="8688" max="8688" width="13.33203125" style="55" customWidth="1"/>
    <col min="8689" max="8689" width="14.1640625" style="55" customWidth="1"/>
    <col min="8690" max="8690" width="9.33203125" style="55" customWidth="1"/>
    <col min="8691" max="8691" width="11.1640625" style="55" customWidth="1"/>
    <col min="8692" max="8692" width="9.1640625" style="55"/>
    <col min="8693" max="8693" width="10.33203125" style="55" customWidth="1"/>
    <col min="8694" max="8694" width="7.6640625" style="55" customWidth="1"/>
    <col min="8695" max="8695" width="12.6640625" style="55" customWidth="1"/>
    <col min="8696" max="8696" width="10.6640625" style="55" customWidth="1"/>
    <col min="8697" max="8697" width="12.83203125" style="55" customWidth="1"/>
    <col min="8698" max="8698" width="10.83203125" style="55" customWidth="1"/>
    <col min="8699" max="8699" width="12.5" style="55" customWidth="1"/>
    <col min="8700" max="8700" width="10.5" style="55" customWidth="1"/>
    <col min="8701" max="8701" width="13.1640625" style="55" customWidth="1"/>
    <col min="8702" max="8702" width="9.83203125" style="55" customWidth="1"/>
    <col min="8703" max="8703" width="13.6640625" style="55" customWidth="1"/>
    <col min="8704" max="8704" width="9.5" style="55" customWidth="1"/>
    <col min="8705" max="8705" width="12.5" style="55" customWidth="1"/>
    <col min="8706" max="8706" width="10" style="55" customWidth="1"/>
    <col min="8707" max="8707" width="13" style="55" customWidth="1"/>
    <col min="8708" max="8708" width="11" style="55" customWidth="1"/>
    <col min="8709" max="8709" width="13.83203125" style="55" customWidth="1"/>
    <col min="8710" max="8710" width="11.33203125" style="55" customWidth="1"/>
    <col min="8711" max="8711" width="13" style="55" customWidth="1"/>
    <col min="8712" max="8712" width="9" style="55" customWidth="1"/>
    <col min="8713" max="8713" width="3.83203125" style="55" customWidth="1"/>
    <col min="8714" max="8714" width="18.5" style="55" customWidth="1"/>
    <col min="8715" max="8715" width="10" style="55" customWidth="1"/>
    <col min="8716" max="8939" width="9.1640625" style="55"/>
    <col min="8940" max="8940" width="25.6640625" style="55" customWidth="1"/>
    <col min="8941" max="8941" width="9" style="55" customWidth="1"/>
    <col min="8942" max="8942" width="22" style="55" customWidth="1"/>
    <col min="8943" max="8943" width="4.5" style="55" customWidth="1"/>
    <col min="8944" max="8944" width="13.33203125" style="55" customWidth="1"/>
    <col min="8945" max="8945" width="14.1640625" style="55" customWidth="1"/>
    <col min="8946" max="8946" width="9.33203125" style="55" customWidth="1"/>
    <col min="8947" max="8947" width="11.1640625" style="55" customWidth="1"/>
    <col min="8948" max="8948" width="9.1640625" style="55"/>
    <col min="8949" max="8949" width="10.33203125" style="55" customWidth="1"/>
    <col min="8950" max="8950" width="7.6640625" style="55" customWidth="1"/>
    <col min="8951" max="8951" width="12.6640625" style="55" customWidth="1"/>
    <col min="8952" max="8952" width="10.6640625" style="55" customWidth="1"/>
    <col min="8953" max="8953" width="12.83203125" style="55" customWidth="1"/>
    <col min="8954" max="8954" width="10.83203125" style="55" customWidth="1"/>
    <col min="8955" max="8955" width="12.5" style="55" customWidth="1"/>
    <col min="8956" max="8956" width="10.5" style="55" customWidth="1"/>
    <col min="8957" max="8957" width="13.1640625" style="55" customWidth="1"/>
    <col min="8958" max="8958" width="9.83203125" style="55" customWidth="1"/>
    <col min="8959" max="8959" width="13.6640625" style="55" customWidth="1"/>
    <col min="8960" max="8960" width="9.5" style="55" customWidth="1"/>
    <col min="8961" max="8961" width="12.5" style="55" customWidth="1"/>
    <col min="8962" max="8962" width="10" style="55" customWidth="1"/>
    <col min="8963" max="8963" width="13" style="55" customWidth="1"/>
    <col min="8964" max="8964" width="11" style="55" customWidth="1"/>
    <col min="8965" max="8965" width="13.83203125" style="55" customWidth="1"/>
    <col min="8966" max="8966" width="11.33203125" style="55" customWidth="1"/>
    <col min="8967" max="8967" width="13" style="55" customWidth="1"/>
    <col min="8968" max="8968" width="9" style="55" customWidth="1"/>
    <col min="8969" max="8969" width="3.83203125" style="55" customWidth="1"/>
    <col min="8970" max="8970" width="18.5" style="55" customWidth="1"/>
    <col min="8971" max="8971" width="10" style="55" customWidth="1"/>
    <col min="8972" max="9195" width="9.1640625" style="55"/>
    <col min="9196" max="9196" width="25.6640625" style="55" customWidth="1"/>
    <col min="9197" max="9197" width="9" style="55" customWidth="1"/>
    <col min="9198" max="9198" width="22" style="55" customWidth="1"/>
    <col min="9199" max="9199" width="4.5" style="55" customWidth="1"/>
    <col min="9200" max="9200" width="13.33203125" style="55" customWidth="1"/>
    <col min="9201" max="9201" width="14.1640625" style="55" customWidth="1"/>
    <col min="9202" max="9202" width="9.33203125" style="55" customWidth="1"/>
    <col min="9203" max="9203" width="11.1640625" style="55" customWidth="1"/>
    <col min="9204" max="9204" width="9.1640625" style="55"/>
    <col min="9205" max="9205" width="10.33203125" style="55" customWidth="1"/>
    <col min="9206" max="9206" width="7.6640625" style="55" customWidth="1"/>
    <col min="9207" max="9207" width="12.6640625" style="55" customWidth="1"/>
    <col min="9208" max="9208" width="10.6640625" style="55" customWidth="1"/>
    <col min="9209" max="9209" width="12.83203125" style="55" customWidth="1"/>
    <col min="9210" max="9210" width="10.83203125" style="55" customWidth="1"/>
    <col min="9211" max="9211" width="12.5" style="55" customWidth="1"/>
    <col min="9212" max="9212" width="10.5" style="55" customWidth="1"/>
    <col min="9213" max="9213" width="13.1640625" style="55" customWidth="1"/>
    <col min="9214" max="9214" width="9.83203125" style="55" customWidth="1"/>
    <col min="9215" max="9215" width="13.6640625" style="55" customWidth="1"/>
    <col min="9216" max="9216" width="9.5" style="55" customWidth="1"/>
    <col min="9217" max="9217" width="12.5" style="55" customWidth="1"/>
    <col min="9218" max="9218" width="10" style="55" customWidth="1"/>
    <col min="9219" max="9219" width="13" style="55" customWidth="1"/>
    <col min="9220" max="9220" width="11" style="55" customWidth="1"/>
    <col min="9221" max="9221" width="13.83203125" style="55" customWidth="1"/>
    <col min="9222" max="9222" width="11.33203125" style="55" customWidth="1"/>
    <col min="9223" max="9223" width="13" style="55" customWidth="1"/>
    <col min="9224" max="9224" width="9" style="55" customWidth="1"/>
    <col min="9225" max="9225" width="3.83203125" style="55" customWidth="1"/>
    <col min="9226" max="9226" width="18.5" style="55" customWidth="1"/>
    <col min="9227" max="9227" width="10" style="55" customWidth="1"/>
    <col min="9228" max="9451" width="9.1640625" style="55"/>
    <col min="9452" max="9452" width="25.6640625" style="55" customWidth="1"/>
    <col min="9453" max="9453" width="9" style="55" customWidth="1"/>
    <col min="9454" max="9454" width="22" style="55" customWidth="1"/>
    <col min="9455" max="9455" width="4.5" style="55" customWidth="1"/>
    <col min="9456" max="9456" width="13.33203125" style="55" customWidth="1"/>
    <col min="9457" max="9457" width="14.1640625" style="55" customWidth="1"/>
    <col min="9458" max="9458" width="9.33203125" style="55" customWidth="1"/>
    <col min="9459" max="9459" width="11.1640625" style="55" customWidth="1"/>
    <col min="9460" max="9460" width="9.1640625" style="55"/>
    <col min="9461" max="9461" width="10.33203125" style="55" customWidth="1"/>
    <col min="9462" max="9462" width="7.6640625" style="55" customWidth="1"/>
    <col min="9463" max="9463" width="12.6640625" style="55" customWidth="1"/>
    <col min="9464" max="9464" width="10.6640625" style="55" customWidth="1"/>
    <col min="9465" max="9465" width="12.83203125" style="55" customWidth="1"/>
    <col min="9466" max="9466" width="10.83203125" style="55" customWidth="1"/>
    <col min="9467" max="9467" width="12.5" style="55" customWidth="1"/>
    <col min="9468" max="9468" width="10.5" style="55" customWidth="1"/>
    <col min="9469" max="9469" width="13.1640625" style="55" customWidth="1"/>
    <col min="9470" max="9470" width="9.83203125" style="55" customWidth="1"/>
    <col min="9471" max="9471" width="13.6640625" style="55" customWidth="1"/>
    <col min="9472" max="9472" width="9.5" style="55" customWidth="1"/>
    <col min="9473" max="9473" width="12.5" style="55" customWidth="1"/>
    <col min="9474" max="9474" width="10" style="55" customWidth="1"/>
    <col min="9475" max="9475" width="13" style="55" customWidth="1"/>
    <col min="9476" max="9476" width="11" style="55" customWidth="1"/>
    <col min="9477" max="9477" width="13.83203125" style="55" customWidth="1"/>
    <col min="9478" max="9478" width="11.33203125" style="55" customWidth="1"/>
    <col min="9479" max="9479" width="13" style="55" customWidth="1"/>
    <col min="9480" max="9480" width="9" style="55" customWidth="1"/>
    <col min="9481" max="9481" width="3.83203125" style="55" customWidth="1"/>
    <col min="9482" max="9482" width="18.5" style="55" customWidth="1"/>
    <col min="9483" max="9483" width="10" style="55" customWidth="1"/>
    <col min="9484" max="9707" width="9.1640625" style="55"/>
    <col min="9708" max="9708" width="25.6640625" style="55" customWidth="1"/>
    <col min="9709" max="9709" width="9" style="55" customWidth="1"/>
    <col min="9710" max="9710" width="22" style="55" customWidth="1"/>
    <col min="9711" max="9711" width="4.5" style="55" customWidth="1"/>
    <col min="9712" max="9712" width="13.33203125" style="55" customWidth="1"/>
    <col min="9713" max="9713" width="14.1640625" style="55" customWidth="1"/>
    <col min="9714" max="9714" width="9.33203125" style="55" customWidth="1"/>
    <col min="9715" max="9715" width="11.1640625" style="55" customWidth="1"/>
    <col min="9716" max="9716" width="9.1640625" style="55"/>
    <col min="9717" max="9717" width="10.33203125" style="55" customWidth="1"/>
    <col min="9718" max="9718" width="7.6640625" style="55" customWidth="1"/>
    <col min="9719" max="9719" width="12.6640625" style="55" customWidth="1"/>
    <col min="9720" max="9720" width="10.6640625" style="55" customWidth="1"/>
    <col min="9721" max="9721" width="12.83203125" style="55" customWidth="1"/>
    <col min="9722" max="9722" width="10.83203125" style="55" customWidth="1"/>
    <col min="9723" max="9723" width="12.5" style="55" customWidth="1"/>
    <col min="9724" max="9724" width="10.5" style="55" customWidth="1"/>
    <col min="9725" max="9725" width="13.1640625" style="55" customWidth="1"/>
    <col min="9726" max="9726" width="9.83203125" style="55" customWidth="1"/>
    <col min="9727" max="9727" width="13.6640625" style="55" customWidth="1"/>
    <col min="9728" max="9728" width="9.5" style="55" customWidth="1"/>
    <col min="9729" max="9729" width="12.5" style="55" customWidth="1"/>
    <col min="9730" max="9730" width="10" style="55" customWidth="1"/>
    <col min="9731" max="9731" width="13" style="55" customWidth="1"/>
    <col min="9732" max="9732" width="11" style="55" customWidth="1"/>
    <col min="9733" max="9733" width="13.83203125" style="55" customWidth="1"/>
    <col min="9734" max="9734" width="11.33203125" style="55" customWidth="1"/>
    <col min="9735" max="9735" width="13" style="55" customWidth="1"/>
    <col min="9736" max="9736" width="9" style="55" customWidth="1"/>
    <col min="9737" max="9737" width="3.83203125" style="55" customWidth="1"/>
    <col min="9738" max="9738" width="18.5" style="55" customWidth="1"/>
    <col min="9739" max="9739" width="10" style="55" customWidth="1"/>
    <col min="9740" max="9963" width="9.1640625" style="55"/>
    <col min="9964" max="9964" width="25.6640625" style="55" customWidth="1"/>
    <col min="9965" max="9965" width="9" style="55" customWidth="1"/>
    <col min="9966" max="9966" width="22" style="55" customWidth="1"/>
    <col min="9967" max="9967" width="4.5" style="55" customWidth="1"/>
    <col min="9968" max="9968" width="13.33203125" style="55" customWidth="1"/>
    <col min="9969" max="9969" width="14.1640625" style="55" customWidth="1"/>
    <col min="9970" max="9970" width="9.33203125" style="55" customWidth="1"/>
    <col min="9971" max="9971" width="11.1640625" style="55" customWidth="1"/>
    <col min="9972" max="9972" width="9.1640625" style="55"/>
    <col min="9973" max="9973" width="10.33203125" style="55" customWidth="1"/>
    <col min="9974" max="9974" width="7.6640625" style="55" customWidth="1"/>
    <col min="9975" max="9975" width="12.6640625" style="55" customWidth="1"/>
    <col min="9976" max="9976" width="10.6640625" style="55" customWidth="1"/>
    <col min="9977" max="9977" width="12.83203125" style="55" customWidth="1"/>
    <col min="9978" max="9978" width="10.83203125" style="55" customWidth="1"/>
    <col min="9979" max="9979" width="12.5" style="55" customWidth="1"/>
    <col min="9980" max="9980" width="10.5" style="55" customWidth="1"/>
    <col min="9981" max="9981" width="13.1640625" style="55" customWidth="1"/>
    <col min="9982" max="9982" width="9.83203125" style="55" customWidth="1"/>
    <col min="9983" max="9983" width="13.6640625" style="55" customWidth="1"/>
    <col min="9984" max="9984" width="9.5" style="55" customWidth="1"/>
    <col min="9985" max="9985" width="12.5" style="55" customWidth="1"/>
    <col min="9986" max="9986" width="10" style="55" customWidth="1"/>
    <col min="9987" max="9987" width="13" style="55" customWidth="1"/>
    <col min="9988" max="9988" width="11" style="55" customWidth="1"/>
    <col min="9989" max="9989" width="13.83203125" style="55" customWidth="1"/>
    <col min="9990" max="9990" width="11.33203125" style="55" customWidth="1"/>
    <col min="9991" max="9991" width="13" style="55" customWidth="1"/>
    <col min="9992" max="9992" width="9" style="55" customWidth="1"/>
    <col min="9993" max="9993" width="3.83203125" style="55" customWidth="1"/>
    <col min="9994" max="9994" width="18.5" style="55" customWidth="1"/>
    <col min="9995" max="9995" width="10" style="55" customWidth="1"/>
    <col min="9996" max="10219" width="9.1640625" style="55"/>
    <col min="10220" max="10220" width="25.6640625" style="55" customWidth="1"/>
    <col min="10221" max="10221" width="9" style="55" customWidth="1"/>
    <col min="10222" max="10222" width="22" style="55" customWidth="1"/>
    <col min="10223" max="10223" width="4.5" style="55" customWidth="1"/>
    <col min="10224" max="10224" width="13.33203125" style="55" customWidth="1"/>
    <col min="10225" max="10225" width="14.1640625" style="55" customWidth="1"/>
    <col min="10226" max="10226" width="9.33203125" style="55" customWidth="1"/>
    <col min="10227" max="10227" width="11.1640625" style="55" customWidth="1"/>
    <col min="10228" max="10228" width="9.1640625" style="55"/>
    <col min="10229" max="10229" width="10.33203125" style="55" customWidth="1"/>
    <col min="10230" max="10230" width="7.6640625" style="55" customWidth="1"/>
    <col min="10231" max="10231" width="12.6640625" style="55" customWidth="1"/>
    <col min="10232" max="10232" width="10.6640625" style="55" customWidth="1"/>
    <col min="10233" max="10233" width="12.83203125" style="55" customWidth="1"/>
    <col min="10234" max="10234" width="10.83203125" style="55" customWidth="1"/>
    <col min="10235" max="10235" width="12.5" style="55" customWidth="1"/>
    <col min="10236" max="10236" width="10.5" style="55" customWidth="1"/>
    <col min="10237" max="10237" width="13.1640625" style="55" customWidth="1"/>
    <col min="10238" max="10238" width="9.83203125" style="55" customWidth="1"/>
    <col min="10239" max="10239" width="13.6640625" style="55" customWidth="1"/>
    <col min="10240" max="10240" width="9.5" style="55" customWidth="1"/>
    <col min="10241" max="10241" width="12.5" style="55" customWidth="1"/>
    <col min="10242" max="10242" width="10" style="55" customWidth="1"/>
    <col min="10243" max="10243" width="13" style="55" customWidth="1"/>
    <col min="10244" max="10244" width="11" style="55" customWidth="1"/>
    <col min="10245" max="10245" width="13.83203125" style="55" customWidth="1"/>
    <col min="10246" max="10246" width="11.33203125" style="55" customWidth="1"/>
    <col min="10247" max="10247" width="13" style="55" customWidth="1"/>
    <col min="10248" max="10248" width="9" style="55" customWidth="1"/>
    <col min="10249" max="10249" width="3.83203125" style="55" customWidth="1"/>
    <col min="10250" max="10250" width="18.5" style="55" customWidth="1"/>
    <col min="10251" max="10251" width="10" style="55" customWidth="1"/>
    <col min="10252" max="10475" width="9.1640625" style="55"/>
    <col min="10476" max="10476" width="25.6640625" style="55" customWidth="1"/>
    <col min="10477" max="10477" width="9" style="55" customWidth="1"/>
    <col min="10478" max="10478" width="22" style="55" customWidth="1"/>
    <col min="10479" max="10479" width="4.5" style="55" customWidth="1"/>
    <col min="10480" max="10480" width="13.33203125" style="55" customWidth="1"/>
    <col min="10481" max="10481" width="14.1640625" style="55" customWidth="1"/>
    <col min="10482" max="10482" width="9.33203125" style="55" customWidth="1"/>
    <col min="10483" max="10483" width="11.1640625" style="55" customWidth="1"/>
    <col min="10484" max="10484" width="9.1640625" style="55"/>
    <col min="10485" max="10485" width="10.33203125" style="55" customWidth="1"/>
    <col min="10486" max="10486" width="7.6640625" style="55" customWidth="1"/>
    <col min="10487" max="10487" width="12.6640625" style="55" customWidth="1"/>
    <col min="10488" max="10488" width="10.6640625" style="55" customWidth="1"/>
    <col min="10489" max="10489" width="12.83203125" style="55" customWidth="1"/>
    <col min="10490" max="10490" width="10.83203125" style="55" customWidth="1"/>
    <col min="10491" max="10491" width="12.5" style="55" customWidth="1"/>
    <col min="10492" max="10492" width="10.5" style="55" customWidth="1"/>
    <col min="10493" max="10493" width="13.1640625" style="55" customWidth="1"/>
    <col min="10494" max="10494" width="9.83203125" style="55" customWidth="1"/>
    <col min="10495" max="10495" width="13.6640625" style="55" customWidth="1"/>
    <col min="10496" max="10496" width="9.5" style="55" customWidth="1"/>
    <col min="10497" max="10497" width="12.5" style="55" customWidth="1"/>
    <col min="10498" max="10498" width="10" style="55" customWidth="1"/>
    <col min="10499" max="10499" width="13" style="55" customWidth="1"/>
    <col min="10500" max="10500" width="11" style="55" customWidth="1"/>
    <col min="10501" max="10501" width="13.83203125" style="55" customWidth="1"/>
    <col min="10502" max="10502" width="11.33203125" style="55" customWidth="1"/>
    <col min="10503" max="10503" width="13" style="55" customWidth="1"/>
    <col min="10504" max="10504" width="9" style="55" customWidth="1"/>
    <col min="10505" max="10505" width="3.83203125" style="55" customWidth="1"/>
    <col min="10506" max="10506" width="18.5" style="55" customWidth="1"/>
    <col min="10507" max="10507" width="10" style="55" customWidth="1"/>
    <col min="10508" max="10731" width="9.1640625" style="55"/>
    <col min="10732" max="10732" width="25.6640625" style="55" customWidth="1"/>
    <col min="10733" max="10733" width="9" style="55" customWidth="1"/>
    <col min="10734" max="10734" width="22" style="55" customWidth="1"/>
    <col min="10735" max="10735" width="4.5" style="55" customWidth="1"/>
    <col min="10736" max="10736" width="13.33203125" style="55" customWidth="1"/>
    <col min="10737" max="10737" width="14.1640625" style="55" customWidth="1"/>
    <col min="10738" max="10738" width="9.33203125" style="55" customWidth="1"/>
    <col min="10739" max="10739" width="11.1640625" style="55" customWidth="1"/>
    <col min="10740" max="10740" width="9.1640625" style="55"/>
    <col min="10741" max="10741" width="10.33203125" style="55" customWidth="1"/>
    <col min="10742" max="10742" width="7.6640625" style="55" customWidth="1"/>
    <col min="10743" max="10743" width="12.6640625" style="55" customWidth="1"/>
    <col min="10744" max="10744" width="10.6640625" style="55" customWidth="1"/>
    <col min="10745" max="10745" width="12.83203125" style="55" customWidth="1"/>
    <col min="10746" max="10746" width="10.83203125" style="55" customWidth="1"/>
    <col min="10747" max="10747" width="12.5" style="55" customWidth="1"/>
    <col min="10748" max="10748" width="10.5" style="55" customWidth="1"/>
    <col min="10749" max="10749" width="13.1640625" style="55" customWidth="1"/>
    <col min="10750" max="10750" width="9.83203125" style="55" customWidth="1"/>
    <col min="10751" max="10751" width="13.6640625" style="55" customWidth="1"/>
    <col min="10752" max="10752" width="9.5" style="55" customWidth="1"/>
    <col min="10753" max="10753" width="12.5" style="55" customWidth="1"/>
    <col min="10754" max="10754" width="10" style="55" customWidth="1"/>
    <col min="10755" max="10755" width="13" style="55" customWidth="1"/>
    <col min="10756" max="10756" width="11" style="55" customWidth="1"/>
    <col min="10757" max="10757" width="13.83203125" style="55" customWidth="1"/>
    <col min="10758" max="10758" width="11.33203125" style="55" customWidth="1"/>
    <col min="10759" max="10759" width="13" style="55" customWidth="1"/>
    <col min="10760" max="10760" width="9" style="55" customWidth="1"/>
    <col min="10761" max="10761" width="3.83203125" style="55" customWidth="1"/>
    <col min="10762" max="10762" width="18.5" style="55" customWidth="1"/>
    <col min="10763" max="10763" width="10" style="55" customWidth="1"/>
    <col min="10764" max="10987" width="9.1640625" style="55"/>
    <col min="10988" max="10988" width="25.6640625" style="55" customWidth="1"/>
    <col min="10989" max="10989" width="9" style="55" customWidth="1"/>
    <col min="10990" max="10990" width="22" style="55" customWidth="1"/>
    <col min="10991" max="10991" width="4.5" style="55" customWidth="1"/>
    <col min="10992" max="10992" width="13.33203125" style="55" customWidth="1"/>
    <col min="10993" max="10993" width="14.1640625" style="55" customWidth="1"/>
    <col min="10994" max="10994" width="9.33203125" style="55" customWidth="1"/>
    <col min="10995" max="10995" width="11.1640625" style="55" customWidth="1"/>
    <col min="10996" max="10996" width="9.1640625" style="55"/>
    <col min="10997" max="10997" width="10.33203125" style="55" customWidth="1"/>
    <col min="10998" max="10998" width="7.6640625" style="55" customWidth="1"/>
    <col min="10999" max="10999" width="12.6640625" style="55" customWidth="1"/>
    <col min="11000" max="11000" width="10.6640625" style="55" customWidth="1"/>
    <col min="11001" max="11001" width="12.83203125" style="55" customWidth="1"/>
    <col min="11002" max="11002" width="10.83203125" style="55" customWidth="1"/>
    <col min="11003" max="11003" width="12.5" style="55" customWidth="1"/>
    <col min="11004" max="11004" width="10.5" style="55" customWidth="1"/>
    <col min="11005" max="11005" width="13.1640625" style="55" customWidth="1"/>
    <col min="11006" max="11006" width="9.83203125" style="55" customWidth="1"/>
    <col min="11007" max="11007" width="13.6640625" style="55" customWidth="1"/>
    <col min="11008" max="11008" width="9.5" style="55" customWidth="1"/>
    <col min="11009" max="11009" width="12.5" style="55" customWidth="1"/>
    <col min="11010" max="11010" width="10" style="55" customWidth="1"/>
    <col min="11011" max="11011" width="13" style="55" customWidth="1"/>
    <col min="11012" max="11012" width="11" style="55" customWidth="1"/>
    <col min="11013" max="11013" width="13.83203125" style="55" customWidth="1"/>
    <col min="11014" max="11014" width="11.33203125" style="55" customWidth="1"/>
    <col min="11015" max="11015" width="13" style="55" customWidth="1"/>
    <col min="11016" max="11016" width="9" style="55" customWidth="1"/>
    <col min="11017" max="11017" width="3.83203125" style="55" customWidth="1"/>
    <col min="11018" max="11018" width="18.5" style="55" customWidth="1"/>
    <col min="11019" max="11019" width="10" style="55" customWidth="1"/>
    <col min="11020" max="11243" width="9.1640625" style="55"/>
    <col min="11244" max="11244" width="25.6640625" style="55" customWidth="1"/>
    <col min="11245" max="11245" width="9" style="55" customWidth="1"/>
    <col min="11246" max="11246" width="22" style="55" customWidth="1"/>
    <col min="11247" max="11247" width="4.5" style="55" customWidth="1"/>
    <col min="11248" max="11248" width="13.33203125" style="55" customWidth="1"/>
    <col min="11249" max="11249" width="14.1640625" style="55" customWidth="1"/>
    <col min="11250" max="11250" width="9.33203125" style="55" customWidth="1"/>
    <col min="11251" max="11251" width="11.1640625" style="55" customWidth="1"/>
    <col min="11252" max="11252" width="9.1640625" style="55"/>
    <col min="11253" max="11253" width="10.33203125" style="55" customWidth="1"/>
    <col min="11254" max="11254" width="7.6640625" style="55" customWidth="1"/>
    <col min="11255" max="11255" width="12.6640625" style="55" customWidth="1"/>
    <col min="11256" max="11256" width="10.6640625" style="55" customWidth="1"/>
    <col min="11257" max="11257" width="12.83203125" style="55" customWidth="1"/>
    <col min="11258" max="11258" width="10.83203125" style="55" customWidth="1"/>
    <col min="11259" max="11259" width="12.5" style="55" customWidth="1"/>
    <col min="11260" max="11260" width="10.5" style="55" customWidth="1"/>
    <col min="11261" max="11261" width="13.1640625" style="55" customWidth="1"/>
    <col min="11262" max="11262" width="9.83203125" style="55" customWidth="1"/>
    <col min="11263" max="11263" width="13.6640625" style="55" customWidth="1"/>
    <col min="11264" max="11264" width="9.5" style="55" customWidth="1"/>
    <col min="11265" max="11265" width="12.5" style="55" customWidth="1"/>
    <col min="11266" max="11266" width="10" style="55" customWidth="1"/>
    <col min="11267" max="11267" width="13" style="55" customWidth="1"/>
    <col min="11268" max="11268" width="11" style="55" customWidth="1"/>
    <col min="11269" max="11269" width="13.83203125" style="55" customWidth="1"/>
    <col min="11270" max="11270" width="11.33203125" style="55" customWidth="1"/>
    <col min="11271" max="11271" width="13" style="55" customWidth="1"/>
    <col min="11272" max="11272" width="9" style="55" customWidth="1"/>
    <col min="11273" max="11273" width="3.83203125" style="55" customWidth="1"/>
    <col min="11274" max="11274" width="18.5" style="55" customWidth="1"/>
    <col min="11275" max="11275" width="10" style="55" customWidth="1"/>
    <col min="11276" max="11499" width="9.1640625" style="55"/>
    <col min="11500" max="11500" width="25.6640625" style="55" customWidth="1"/>
    <col min="11501" max="11501" width="9" style="55" customWidth="1"/>
    <col min="11502" max="11502" width="22" style="55" customWidth="1"/>
    <col min="11503" max="11503" width="4.5" style="55" customWidth="1"/>
    <col min="11504" max="11504" width="13.33203125" style="55" customWidth="1"/>
    <col min="11505" max="11505" width="14.1640625" style="55" customWidth="1"/>
    <col min="11506" max="11506" width="9.33203125" style="55" customWidth="1"/>
    <col min="11507" max="11507" width="11.1640625" style="55" customWidth="1"/>
    <col min="11508" max="11508" width="9.1640625" style="55"/>
    <col min="11509" max="11509" width="10.33203125" style="55" customWidth="1"/>
    <col min="11510" max="11510" width="7.6640625" style="55" customWidth="1"/>
    <col min="11511" max="11511" width="12.6640625" style="55" customWidth="1"/>
    <col min="11512" max="11512" width="10.6640625" style="55" customWidth="1"/>
    <col min="11513" max="11513" width="12.83203125" style="55" customWidth="1"/>
    <col min="11514" max="11514" width="10.83203125" style="55" customWidth="1"/>
    <col min="11515" max="11515" width="12.5" style="55" customWidth="1"/>
    <col min="11516" max="11516" width="10.5" style="55" customWidth="1"/>
    <col min="11517" max="11517" width="13.1640625" style="55" customWidth="1"/>
    <col min="11518" max="11518" width="9.83203125" style="55" customWidth="1"/>
    <col min="11519" max="11519" width="13.6640625" style="55" customWidth="1"/>
    <col min="11520" max="11520" width="9.5" style="55" customWidth="1"/>
    <col min="11521" max="11521" width="12.5" style="55" customWidth="1"/>
    <col min="11522" max="11522" width="10" style="55" customWidth="1"/>
    <col min="11523" max="11523" width="13" style="55" customWidth="1"/>
    <col min="11524" max="11524" width="11" style="55" customWidth="1"/>
    <col min="11525" max="11525" width="13.83203125" style="55" customWidth="1"/>
    <col min="11526" max="11526" width="11.33203125" style="55" customWidth="1"/>
    <col min="11527" max="11527" width="13" style="55" customWidth="1"/>
    <col min="11528" max="11528" width="9" style="55" customWidth="1"/>
    <col min="11529" max="11529" width="3.83203125" style="55" customWidth="1"/>
    <col min="11530" max="11530" width="18.5" style="55" customWidth="1"/>
    <col min="11531" max="11531" width="10" style="55" customWidth="1"/>
    <col min="11532" max="11755" width="9.1640625" style="55"/>
    <col min="11756" max="11756" width="25.6640625" style="55" customWidth="1"/>
    <col min="11757" max="11757" width="9" style="55" customWidth="1"/>
    <col min="11758" max="11758" width="22" style="55" customWidth="1"/>
    <col min="11759" max="11759" width="4.5" style="55" customWidth="1"/>
    <col min="11760" max="11760" width="13.33203125" style="55" customWidth="1"/>
    <col min="11761" max="11761" width="14.1640625" style="55" customWidth="1"/>
    <col min="11762" max="11762" width="9.33203125" style="55" customWidth="1"/>
    <col min="11763" max="11763" width="11.1640625" style="55" customWidth="1"/>
    <col min="11764" max="11764" width="9.1640625" style="55"/>
    <col min="11765" max="11765" width="10.33203125" style="55" customWidth="1"/>
    <col min="11766" max="11766" width="7.6640625" style="55" customWidth="1"/>
    <col min="11767" max="11767" width="12.6640625" style="55" customWidth="1"/>
    <col min="11768" max="11768" width="10.6640625" style="55" customWidth="1"/>
    <col min="11769" max="11769" width="12.83203125" style="55" customWidth="1"/>
    <col min="11770" max="11770" width="10.83203125" style="55" customWidth="1"/>
    <col min="11771" max="11771" width="12.5" style="55" customWidth="1"/>
    <col min="11772" max="11772" width="10.5" style="55" customWidth="1"/>
    <col min="11773" max="11773" width="13.1640625" style="55" customWidth="1"/>
    <col min="11774" max="11774" width="9.83203125" style="55" customWidth="1"/>
    <col min="11775" max="11775" width="13.6640625" style="55" customWidth="1"/>
    <col min="11776" max="11776" width="9.5" style="55" customWidth="1"/>
    <col min="11777" max="11777" width="12.5" style="55" customWidth="1"/>
    <col min="11778" max="11778" width="10" style="55" customWidth="1"/>
    <col min="11779" max="11779" width="13" style="55" customWidth="1"/>
    <col min="11780" max="11780" width="11" style="55" customWidth="1"/>
    <col min="11781" max="11781" width="13.83203125" style="55" customWidth="1"/>
    <col min="11782" max="11782" width="11.33203125" style="55" customWidth="1"/>
    <col min="11783" max="11783" width="13" style="55" customWidth="1"/>
    <col min="11784" max="11784" width="9" style="55" customWidth="1"/>
    <col min="11785" max="11785" width="3.83203125" style="55" customWidth="1"/>
    <col min="11786" max="11786" width="18.5" style="55" customWidth="1"/>
    <col min="11787" max="11787" width="10" style="55" customWidth="1"/>
    <col min="11788" max="12011" width="9.1640625" style="55"/>
    <col min="12012" max="12012" width="25.6640625" style="55" customWidth="1"/>
    <col min="12013" max="12013" width="9" style="55" customWidth="1"/>
    <col min="12014" max="12014" width="22" style="55" customWidth="1"/>
    <col min="12015" max="12015" width="4.5" style="55" customWidth="1"/>
    <col min="12016" max="12016" width="13.33203125" style="55" customWidth="1"/>
    <col min="12017" max="12017" width="14.1640625" style="55" customWidth="1"/>
    <col min="12018" max="12018" width="9.33203125" style="55" customWidth="1"/>
    <col min="12019" max="12019" width="11.1640625" style="55" customWidth="1"/>
    <col min="12020" max="12020" width="9.1640625" style="55"/>
    <col min="12021" max="12021" width="10.33203125" style="55" customWidth="1"/>
    <col min="12022" max="12022" width="7.6640625" style="55" customWidth="1"/>
    <col min="12023" max="12023" width="12.6640625" style="55" customWidth="1"/>
    <col min="12024" max="12024" width="10.6640625" style="55" customWidth="1"/>
    <col min="12025" max="12025" width="12.83203125" style="55" customWidth="1"/>
    <col min="12026" max="12026" width="10.83203125" style="55" customWidth="1"/>
    <col min="12027" max="12027" width="12.5" style="55" customWidth="1"/>
    <col min="12028" max="12028" width="10.5" style="55" customWidth="1"/>
    <col min="12029" max="12029" width="13.1640625" style="55" customWidth="1"/>
    <col min="12030" max="12030" width="9.83203125" style="55" customWidth="1"/>
    <col min="12031" max="12031" width="13.6640625" style="55" customWidth="1"/>
    <col min="12032" max="12032" width="9.5" style="55" customWidth="1"/>
    <col min="12033" max="12033" width="12.5" style="55" customWidth="1"/>
    <col min="12034" max="12034" width="10" style="55" customWidth="1"/>
    <col min="12035" max="12035" width="13" style="55" customWidth="1"/>
    <col min="12036" max="12036" width="11" style="55" customWidth="1"/>
    <col min="12037" max="12037" width="13.83203125" style="55" customWidth="1"/>
    <col min="12038" max="12038" width="11.33203125" style="55" customWidth="1"/>
    <col min="12039" max="12039" width="13" style="55" customWidth="1"/>
    <col min="12040" max="12040" width="9" style="55" customWidth="1"/>
    <col min="12041" max="12041" width="3.83203125" style="55" customWidth="1"/>
    <col min="12042" max="12042" width="18.5" style="55" customWidth="1"/>
    <col min="12043" max="12043" width="10" style="55" customWidth="1"/>
    <col min="12044" max="12267" width="9.1640625" style="55"/>
    <col min="12268" max="12268" width="25.6640625" style="55" customWidth="1"/>
    <col min="12269" max="12269" width="9" style="55" customWidth="1"/>
    <col min="12270" max="12270" width="22" style="55" customWidth="1"/>
    <col min="12271" max="12271" width="4.5" style="55" customWidth="1"/>
    <col min="12272" max="12272" width="13.33203125" style="55" customWidth="1"/>
    <col min="12273" max="12273" width="14.1640625" style="55" customWidth="1"/>
    <col min="12274" max="12274" width="9.33203125" style="55" customWidth="1"/>
    <col min="12275" max="12275" width="11.1640625" style="55" customWidth="1"/>
    <col min="12276" max="12276" width="9.1640625" style="55"/>
    <col min="12277" max="12277" width="10.33203125" style="55" customWidth="1"/>
    <col min="12278" max="12278" width="7.6640625" style="55" customWidth="1"/>
    <col min="12279" max="12279" width="12.6640625" style="55" customWidth="1"/>
    <col min="12280" max="12280" width="10.6640625" style="55" customWidth="1"/>
    <col min="12281" max="12281" width="12.83203125" style="55" customWidth="1"/>
    <col min="12282" max="12282" width="10.83203125" style="55" customWidth="1"/>
    <col min="12283" max="12283" width="12.5" style="55" customWidth="1"/>
    <col min="12284" max="12284" width="10.5" style="55" customWidth="1"/>
    <col min="12285" max="12285" width="13.1640625" style="55" customWidth="1"/>
    <col min="12286" max="12286" width="9.83203125" style="55" customWidth="1"/>
    <col min="12287" max="12287" width="13.6640625" style="55" customWidth="1"/>
    <col min="12288" max="12288" width="9.5" style="55" customWidth="1"/>
    <col min="12289" max="12289" width="12.5" style="55" customWidth="1"/>
    <col min="12290" max="12290" width="10" style="55" customWidth="1"/>
    <col min="12291" max="12291" width="13" style="55" customWidth="1"/>
    <col min="12292" max="12292" width="11" style="55" customWidth="1"/>
    <col min="12293" max="12293" width="13.83203125" style="55" customWidth="1"/>
    <col min="12294" max="12294" width="11.33203125" style="55" customWidth="1"/>
    <col min="12295" max="12295" width="13" style="55" customWidth="1"/>
    <col min="12296" max="12296" width="9" style="55" customWidth="1"/>
    <col min="12297" max="12297" width="3.83203125" style="55" customWidth="1"/>
    <col min="12298" max="12298" width="18.5" style="55" customWidth="1"/>
    <col min="12299" max="12299" width="10" style="55" customWidth="1"/>
    <col min="12300" max="12523" width="9.1640625" style="55"/>
    <col min="12524" max="12524" width="25.6640625" style="55" customWidth="1"/>
    <col min="12525" max="12525" width="9" style="55" customWidth="1"/>
    <col min="12526" max="12526" width="22" style="55" customWidth="1"/>
    <col min="12527" max="12527" width="4.5" style="55" customWidth="1"/>
    <col min="12528" max="12528" width="13.33203125" style="55" customWidth="1"/>
    <col min="12529" max="12529" width="14.1640625" style="55" customWidth="1"/>
    <col min="12530" max="12530" width="9.33203125" style="55" customWidth="1"/>
    <col min="12531" max="12531" width="11.1640625" style="55" customWidth="1"/>
    <col min="12532" max="12532" width="9.1640625" style="55"/>
    <col min="12533" max="12533" width="10.33203125" style="55" customWidth="1"/>
    <col min="12534" max="12534" width="7.6640625" style="55" customWidth="1"/>
    <col min="12535" max="12535" width="12.6640625" style="55" customWidth="1"/>
    <col min="12536" max="12536" width="10.6640625" style="55" customWidth="1"/>
    <col min="12537" max="12537" width="12.83203125" style="55" customWidth="1"/>
    <col min="12538" max="12538" width="10.83203125" style="55" customWidth="1"/>
    <col min="12539" max="12539" width="12.5" style="55" customWidth="1"/>
    <col min="12540" max="12540" width="10.5" style="55" customWidth="1"/>
    <col min="12541" max="12541" width="13.1640625" style="55" customWidth="1"/>
    <col min="12542" max="12542" width="9.83203125" style="55" customWidth="1"/>
    <col min="12543" max="12543" width="13.6640625" style="55" customWidth="1"/>
    <col min="12544" max="12544" width="9.5" style="55" customWidth="1"/>
    <col min="12545" max="12545" width="12.5" style="55" customWidth="1"/>
    <col min="12546" max="12546" width="10" style="55" customWidth="1"/>
    <col min="12547" max="12547" width="13" style="55" customWidth="1"/>
    <col min="12548" max="12548" width="11" style="55" customWidth="1"/>
    <col min="12549" max="12549" width="13.83203125" style="55" customWidth="1"/>
    <col min="12550" max="12550" width="11.33203125" style="55" customWidth="1"/>
    <col min="12551" max="12551" width="13" style="55" customWidth="1"/>
    <col min="12552" max="12552" width="9" style="55" customWidth="1"/>
    <col min="12553" max="12553" width="3.83203125" style="55" customWidth="1"/>
    <col min="12554" max="12554" width="18.5" style="55" customWidth="1"/>
    <col min="12555" max="12555" width="10" style="55" customWidth="1"/>
    <col min="12556" max="12779" width="9.1640625" style="55"/>
    <col min="12780" max="12780" width="25.6640625" style="55" customWidth="1"/>
    <col min="12781" max="12781" width="9" style="55" customWidth="1"/>
    <col min="12782" max="12782" width="22" style="55" customWidth="1"/>
    <col min="12783" max="12783" width="4.5" style="55" customWidth="1"/>
    <col min="12784" max="12784" width="13.33203125" style="55" customWidth="1"/>
    <col min="12785" max="12785" width="14.1640625" style="55" customWidth="1"/>
    <col min="12786" max="12786" width="9.33203125" style="55" customWidth="1"/>
    <col min="12787" max="12787" width="11.1640625" style="55" customWidth="1"/>
    <col min="12788" max="12788" width="9.1640625" style="55"/>
    <col min="12789" max="12789" width="10.33203125" style="55" customWidth="1"/>
    <col min="12790" max="12790" width="7.6640625" style="55" customWidth="1"/>
    <col min="12791" max="12791" width="12.6640625" style="55" customWidth="1"/>
    <col min="12792" max="12792" width="10.6640625" style="55" customWidth="1"/>
    <col min="12793" max="12793" width="12.83203125" style="55" customWidth="1"/>
    <col min="12794" max="12794" width="10.83203125" style="55" customWidth="1"/>
    <col min="12795" max="12795" width="12.5" style="55" customWidth="1"/>
    <col min="12796" max="12796" width="10.5" style="55" customWidth="1"/>
    <col min="12797" max="12797" width="13.1640625" style="55" customWidth="1"/>
    <col min="12798" max="12798" width="9.83203125" style="55" customWidth="1"/>
    <col min="12799" max="12799" width="13.6640625" style="55" customWidth="1"/>
    <col min="12800" max="12800" width="9.5" style="55" customWidth="1"/>
    <col min="12801" max="12801" width="12.5" style="55" customWidth="1"/>
    <col min="12802" max="12802" width="10" style="55" customWidth="1"/>
    <col min="12803" max="12803" width="13" style="55" customWidth="1"/>
    <col min="12804" max="12804" width="11" style="55" customWidth="1"/>
    <col min="12805" max="12805" width="13.83203125" style="55" customWidth="1"/>
    <col min="12806" max="12806" width="11.33203125" style="55" customWidth="1"/>
    <col min="12807" max="12807" width="13" style="55" customWidth="1"/>
    <col min="12808" max="12808" width="9" style="55" customWidth="1"/>
    <col min="12809" max="12809" width="3.83203125" style="55" customWidth="1"/>
    <col min="12810" max="12810" width="18.5" style="55" customWidth="1"/>
    <col min="12811" max="12811" width="10" style="55" customWidth="1"/>
    <col min="12812" max="13035" width="9.1640625" style="55"/>
    <col min="13036" max="13036" width="25.6640625" style="55" customWidth="1"/>
    <col min="13037" max="13037" width="9" style="55" customWidth="1"/>
    <col min="13038" max="13038" width="22" style="55" customWidth="1"/>
    <col min="13039" max="13039" width="4.5" style="55" customWidth="1"/>
    <col min="13040" max="13040" width="13.33203125" style="55" customWidth="1"/>
    <col min="13041" max="13041" width="14.1640625" style="55" customWidth="1"/>
    <col min="13042" max="13042" width="9.33203125" style="55" customWidth="1"/>
    <col min="13043" max="13043" width="11.1640625" style="55" customWidth="1"/>
    <col min="13044" max="13044" width="9.1640625" style="55"/>
    <col min="13045" max="13045" width="10.33203125" style="55" customWidth="1"/>
    <col min="13046" max="13046" width="7.6640625" style="55" customWidth="1"/>
    <col min="13047" max="13047" width="12.6640625" style="55" customWidth="1"/>
    <col min="13048" max="13048" width="10.6640625" style="55" customWidth="1"/>
    <col min="13049" max="13049" width="12.83203125" style="55" customWidth="1"/>
    <col min="13050" max="13050" width="10.83203125" style="55" customWidth="1"/>
    <col min="13051" max="13051" width="12.5" style="55" customWidth="1"/>
    <col min="13052" max="13052" width="10.5" style="55" customWidth="1"/>
    <col min="13053" max="13053" width="13.1640625" style="55" customWidth="1"/>
    <col min="13054" max="13054" width="9.83203125" style="55" customWidth="1"/>
    <col min="13055" max="13055" width="13.6640625" style="55" customWidth="1"/>
    <col min="13056" max="13056" width="9.5" style="55" customWidth="1"/>
    <col min="13057" max="13057" width="12.5" style="55" customWidth="1"/>
    <col min="13058" max="13058" width="10" style="55" customWidth="1"/>
    <col min="13059" max="13059" width="13" style="55" customWidth="1"/>
    <col min="13060" max="13060" width="11" style="55" customWidth="1"/>
    <col min="13061" max="13061" width="13.83203125" style="55" customWidth="1"/>
    <col min="13062" max="13062" width="11.33203125" style="55" customWidth="1"/>
    <col min="13063" max="13063" width="13" style="55" customWidth="1"/>
    <col min="13064" max="13064" width="9" style="55" customWidth="1"/>
    <col min="13065" max="13065" width="3.83203125" style="55" customWidth="1"/>
    <col min="13066" max="13066" width="18.5" style="55" customWidth="1"/>
    <col min="13067" max="13067" width="10" style="55" customWidth="1"/>
    <col min="13068" max="13291" width="9.1640625" style="55"/>
    <col min="13292" max="13292" width="25.6640625" style="55" customWidth="1"/>
    <col min="13293" max="13293" width="9" style="55" customWidth="1"/>
    <col min="13294" max="13294" width="22" style="55" customWidth="1"/>
    <col min="13295" max="13295" width="4.5" style="55" customWidth="1"/>
    <col min="13296" max="13296" width="13.33203125" style="55" customWidth="1"/>
    <col min="13297" max="13297" width="14.1640625" style="55" customWidth="1"/>
    <col min="13298" max="13298" width="9.33203125" style="55" customWidth="1"/>
    <col min="13299" max="13299" width="11.1640625" style="55" customWidth="1"/>
    <col min="13300" max="13300" width="9.1640625" style="55"/>
    <col min="13301" max="13301" width="10.33203125" style="55" customWidth="1"/>
    <col min="13302" max="13302" width="7.6640625" style="55" customWidth="1"/>
    <col min="13303" max="13303" width="12.6640625" style="55" customWidth="1"/>
    <col min="13304" max="13304" width="10.6640625" style="55" customWidth="1"/>
    <col min="13305" max="13305" width="12.83203125" style="55" customWidth="1"/>
    <col min="13306" max="13306" width="10.83203125" style="55" customWidth="1"/>
    <col min="13307" max="13307" width="12.5" style="55" customWidth="1"/>
    <col min="13308" max="13308" width="10.5" style="55" customWidth="1"/>
    <col min="13309" max="13309" width="13.1640625" style="55" customWidth="1"/>
    <col min="13310" max="13310" width="9.83203125" style="55" customWidth="1"/>
    <col min="13311" max="13311" width="13.6640625" style="55" customWidth="1"/>
    <col min="13312" max="13312" width="9.5" style="55" customWidth="1"/>
    <col min="13313" max="13313" width="12.5" style="55" customWidth="1"/>
    <col min="13314" max="13314" width="10" style="55" customWidth="1"/>
    <col min="13315" max="13315" width="13" style="55" customWidth="1"/>
    <col min="13316" max="13316" width="11" style="55" customWidth="1"/>
    <col min="13317" max="13317" width="13.83203125" style="55" customWidth="1"/>
    <col min="13318" max="13318" width="11.33203125" style="55" customWidth="1"/>
    <col min="13319" max="13319" width="13" style="55" customWidth="1"/>
    <col min="13320" max="13320" width="9" style="55" customWidth="1"/>
    <col min="13321" max="13321" width="3.83203125" style="55" customWidth="1"/>
    <col min="13322" max="13322" width="18.5" style="55" customWidth="1"/>
    <col min="13323" max="13323" width="10" style="55" customWidth="1"/>
    <col min="13324" max="13547" width="9.1640625" style="55"/>
    <col min="13548" max="13548" width="25.6640625" style="55" customWidth="1"/>
    <col min="13549" max="13549" width="9" style="55" customWidth="1"/>
    <col min="13550" max="13550" width="22" style="55" customWidth="1"/>
    <col min="13551" max="13551" width="4.5" style="55" customWidth="1"/>
    <col min="13552" max="13552" width="13.33203125" style="55" customWidth="1"/>
    <col min="13553" max="13553" width="14.1640625" style="55" customWidth="1"/>
    <col min="13554" max="13554" width="9.33203125" style="55" customWidth="1"/>
    <col min="13555" max="13555" width="11.1640625" style="55" customWidth="1"/>
    <col min="13556" max="13556" width="9.1640625" style="55"/>
    <col min="13557" max="13557" width="10.33203125" style="55" customWidth="1"/>
    <col min="13558" max="13558" width="7.6640625" style="55" customWidth="1"/>
    <col min="13559" max="13559" width="12.6640625" style="55" customWidth="1"/>
    <col min="13560" max="13560" width="10.6640625" style="55" customWidth="1"/>
    <col min="13561" max="13561" width="12.83203125" style="55" customWidth="1"/>
    <col min="13562" max="13562" width="10.83203125" style="55" customWidth="1"/>
    <col min="13563" max="13563" width="12.5" style="55" customWidth="1"/>
    <col min="13564" max="13564" width="10.5" style="55" customWidth="1"/>
    <col min="13565" max="13565" width="13.1640625" style="55" customWidth="1"/>
    <col min="13566" max="13566" width="9.83203125" style="55" customWidth="1"/>
    <col min="13567" max="13567" width="13.6640625" style="55" customWidth="1"/>
    <col min="13568" max="13568" width="9.5" style="55" customWidth="1"/>
    <col min="13569" max="13569" width="12.5" style="55" customWidth="1"/>
    <col min="13570" max="13570" width="10" style="55" customWidth="1"/>
    <col min="13571" max="13571" width="13" style="55" customWidth="1"/>
    <col min="13572" max="13572" width="11" style="55" customWidth="1"/>
    <col min="13573" max="13573" width="13.83203125" style="55" customWidth="1"/>
    <col min="13574" max="13574" width="11.33203125" style="55" customWidth="1"/>
    <col min="13575" max="13575" width="13" style="55" customWidth="1"/>
    <col min="13576" max="13576" width="9" style="55" customWidth="1"/>
    <col min="13577" max="13577" width="3.83203125" style="55" customWidth="1"/>
    <col min="13578" max="13578" width="18.5" style="55" customWidth="1"/>
    <col min="13579" max="13579" width="10" style="55" customWidth="1"/>
    <col min="13580" max="13803" width="9.1640625" style="55"/>
    <col min="13804" max="13804" width="25.6640625" style="55" customWidth="1"/>
    <col min="13805" max="13805" width="9" style="55" customWidth="1"/>
    <col min="13806" max="13806" width="22" style="55" customWidth="1"/>
    <col min="13807" max="13807" width="4.5" style="55" customWidth="1"/>
    <col min="13808" max="13808" width="13.33203125" style="55" customWidth="1"/>
    <col min="13809" max="13809" width="14.1640625" style="55" customWidth="1"/>
    <col min="13810" max="13810" width="9.33203125" style="55" customWidth="1"/>
    <col min="13811" max="13811" width="11.1640625" style="55" customWidth="1"/>
    <col min="13812" max="13812" width="9.1640625" style="55"/>
    <col min="13813" max="13813" width="10.33203125" style="55" customWidth="1"/>
    <col min="13814" max="13814" width="7.6640625" style="55" customWidth="1"/>
    <col min="13815" max="13815" width="12.6640625" style="55" customWidth="1"/>
    <col min="13816" max="13816" width="10.6640625" style="55" customWidth="1"/>
    <col min="13817" max="13817" width="12.83203125" style="55" customWidth="1"/>
    <col min="13818" max="13818" width="10.83203125" style="55" customWidth="1"/>
    <col min="13819" max="13819" width="12.5" style="55" customWidth="1"/>
    <col min="13820" max="13820" width="10.5" style="55" customWidth="1"/>
    <col min="13821" max="13821" width="13.1640625" style="55" customWidth="1"/>
    <col min="13822" max="13822" width="9.83203125" style="55" customWidth="1"/>
    <col min="13823" max="13823" width="13.6640625" style="55" customWidth="1"/>
    <col min="13824" max="13824" width="9.5" style="55" customWidth="1"/>
    <col min="13825" max="13825" width="12.5" style="55" customWidth="1"/>
    <col min="13826" max="13826" width="10" style="55" customWidth="1"/>
    <col min="13827" max="13827" width="13" style="55" customWidth="1"/>
    <col min="13828" max="13828" width="11" style="55" customWidth="1"/>
    <col min="13829" max="13829" width="13.83203125" style="55" customWidth="1"/>
    <col min="13830" max="13830" width="11.33203125" style="55" customWidth="1"/>
    <col min="13831" max="13831" width="13" style="55" customWidth="1"/>
    <col min="13832" max="13832" width="9" style="55" customWidth="1"/>
    <col min="13833" max="13833" width="3.83203125" style="55" customWidth="1"/>
    <col min="13834" max="13834" width="18.5" style="55" customWidth="1"/>
    <col min="13835" max="13835" width="10" style="55" customWidth="1"/>
    <col min="13836" max="14059" width="9.1640625" style="55"/>
    <col min="14060" max="14060" width="25.6640625" style="55" customWidth="1"/>
    <col min="14061" max="14061" width="9" style="55" customWidth="1"/>
    <col min="14062" max="14062" width="22" style="55" customWidth="1"/>
    <col min="14063" max="14063" width="4.5" style="55" customWidth="1"/>
    <col min="14064" max="14064" width="13.33203125" style="55" customWidth="1"/>
    <col min="14065" max="14065" width="14.1640625" style="55" customWidth="1"/>
    <col min="14066" max="14066" width="9.33203125" style="55" customWidth="1"/>
    <col min="14067" max="14067" width="11.1640625" style="55" customWidth="1"/>
    <col min="14068" max="14068" width="9.1640625" style="55"/>
    <col min="14069" max="14069" width="10.33203125" style="55" customWidth="1"/>
    <col min="14070" max="14070" width="7.6640625" style="55" customWidth="1"/>
    <col min="14071" max="14071" width="12.6640625" style="55" customWidth="1"/>
    <col min="14072" max="14072" width="10.6640625" style="55" customWidth="1"/>
    <col min="14073" max="14073" width="12.83203125" style="55" customWidth="1"/>
    <col min="14074" max="14074" width="10.83203125" style="55" customWidth="1"/>
    <col min="14075" max="14075" width="12.5" style="55" customWidth="1"/>
    <col min="14076" max="14076" width="10.5" style="55" customWidth="1"/>
    <col min="14077" max="14077" width="13.1640625" style="55" customWidth="1"/>
    <col min="14078" max="14078" width="9.83203125" style="55" customWidth="1"/>
    <col min="14079" max="14079" width="13.6640625" style="55" customWidth="1"/>
    <col min="14080" max="14080" width="9.5" style="55" customWidth="1"/>
    <col min="14081" max="14081" width="12.5" style="55" customWidth="1"/>
    <col min="14082" max="14082" width="10" style="55" customWidth="1"/>
    <col min="14083" max="14083" width="13" style="55" customWidth="1"/>
    <col min="14084" max="14084" width="11" style="55" customWidth="1"/>
    <col min="14085" max="14085" width="13.83203125" style="55" customWidth="1"/>
    <col min="14086" max="14086" width="11.33203125" style="55" customWidth="1"/>
    <col min="14087" max="14087" width="13" style="55" customWidth="1"/>
    <col min="14088" max="14088" width="9" style="55" customWidth="1"/>
    <col min="14089" max="14089" width="3.83203125" style="55" customWidth="1"/>
    <col min="14090" max="14090" width="18.5" style="55" customWidth="1"/>
    <col min="14091" max="14091" width="10" style="55" customWidth="1"/>
    <col min="14092" max="14315" width="9.1640625" style="55"/>
    <col min="14316" max="14316" width="25.6640625" style="55" customWidth="1"/>
    <col min="14317" max="14317" width="9" style="55" customWidth="1"/>
    <col min="14318" max="14318" width="22" style="55" customWidth="1"/>
    <col min="14319" max="14319" width="4.5" style="55" customWidth="1"/>
    <col min="14320" max="14320" width="13.33203125" style="55" customWidth="1"/>
    <col min="14321" max="14321" width="14.1640625" style="55" customWidth="1"/>
    <col min="14322" max="14322" width="9.33203125" style="55" customWidth="1"/>
    <col min="14323" max="14323" width="11.1640625" style="55" customWidth="1"/>
    <col min="14324" max="14324" width="9.1640625" style="55"/>
    <col min="14325" max="14325" width="10.33203125" style="55" customWidth="1"/>
    <col min="14326" max="14326" width="7.6640625" style="55" customWidth="1"/>
    <col min="14327" max="14327" width="12.6640625" style="55" customWidth="1"/>
    <col min="14328" max="14328" width="10.6640625" style="55" customWidth="1"/>
    <col min="14329" max="14329" width="12.83203125" style="55" customWidth="1"/>
    <col min="14330" max="14330" width="10.83203125" style="55" customWidth="1"/>
    <col min="14331" max="14331" width="12.5" style="55" customWidth="1"/>
    <col min="14332" max="14332" width="10.5" style="55" customWidth="1"/>
    <col min="14333" max="14333" width="13.1640625" style="55" customWidth="1"/>
    <col min="14334" max="14334" width="9.83203125" style="55" customWidth="1"/>
    <col min="14335" max="14335" width="13.6640625" style="55" customWidth="1"/>
    <col min="14336" max="14336" width="9.5" style="55" customWidth="1"/>
    <col min="14337" max="14337" width="12.5" style="55" customWidth="1"/>
    <col min="14338" max="14338" width="10" style="55" customWidth="1"/>
    <col min="14339" max="14339" width="13" style="55" customWidth="1"/>
    <col min="14340" max="14340" width="11" style="55" customWidth="1"/>
    <col min="14341" max="14341" width="13.83203125" style="55" customWidth="1"/>
    <col min="14342" max="14342" width="11.33203125" style="55" customWidth="1"/>
    <col min="14343" max="14343" width="13" style="55" customWidth="1"/>
    <col min="14344" max="14344" width="9" style="55" customWidth="1"/>
    <col min="14345" max="14345" width="3.83203125" style="55" customWidth="1"/>
    <col min="14346" max="14346" width="18.5" style="55" customWidth="1"/>
    <col min="14347" max="14347" width="10" style="55" customWidth="1"/>
    <col min="14348" max="14571" width="9.1640625" style="55"/>
    <col min="14572" max="14572" width="25.6640625" style="55" customWidth="1"/>
    <col min="14573" max="14573" width="9" style="55" customWidth="1"/>
    <col min="14574" max="14574" width="22" style="55" customWidth="1"/>
    <col min="14575" max="14575" width="4.5" style="55" customWidth="1"/>
    <col min="14576" max="14576" width="13.33203125" style="55" customWidth="1"/>
    <col min="14577" max="14577" width="14.1640625" style="55" customWidth="1"/>
    <col min="14578" max="14578" width="9.33203125" style="55" customWidth="1"/>
    <col min="14579" max="14579" width="11.1640625" style="55" customWidth="1"/>
    <col min="14580" max="14580" width="9.1640625" style="55"/>
    <col min="14581" max="14581" width="10.33203125" style="55" customWidth="1"/>
    <col min="14582" max="14582" width="7.6640625" style="55" customWidth="1"/>
    <col min="14583" max="14583" width="12.6640625" style="55" customWidth="1"/>
    <col min="14584" max="14584" width="10.6640625" style="55" customWidth="1"/>
    <col min="14585" max="14585" width="12.83203125" style="55" customWidth="1"/>
    <col min="14586" max="14586" width="10.83203125" style="55" customWidth="1"/>
    <col min="14587" max="14587" width="12.5" style="55" customWidth="1"/>
    <col min="14588" max="14588" width="10.5" style="55" customWidth="1"/>
    <col min="14589" max="14589" width="13.1640625" style="55" customWidth="1"/>
    <col min="14590" max="14590" width="9.83203125" style="55" customWidth="1"/>
    <col min="14591" max="14591" width="13.6640625" style="55" customWidth="1"/>
    <col min="14592" max="14592" width="9.5" style="55" customWidth="1"/>
    <col min="14593" max="14593" width="12.5" style="55" customWidth="1"/>
    <col min="14594" max="14594" width="10" style="55" customWidth="1"/>
    <col min="14595" max="14595" width="13" style="55" customWidth="1"/>
    <col min="14596" max="14596" width="11" style="55" customWidth="1"/>
    <col min="14597" max="14597" width="13.83203125" style="55" customWidth="1"/>
    <col min="14598" max="14598" width="11.33203125" style="55" customWidth="1"/>
    <col min="14599" max="14599" width="13" style="55" customWidth="1"/>
    <col min="14600" max="14600" width="9" style="55" customWidth="1"/>
    <col min="14601" max="14601" width="3.83203125" style="55" customWidth="1"/>
    <col min="14602" max="14602" width="18.5" style="55" customWidth="1"/>
    <col min="14603" max="14603" width="10" style="55" customWidth="1"/>
    <col min="14604" max="14827" width="9.1640625" style="55"/>
    <col min="14828" max="14828" width="25.6640625" style="55" customWidth="1"/>
    <col min="14829" max="14829" width="9" style="55" customWidth="1"/>
    <col min="14830" max="14830" width="22" style="55" customWidth="1"/>
    <col min="14831" max="14831" width="4.5" style="55" customWidth="1"/>
    <col min="14832" max="14832" width="13.33203125" style="55" customWidth="1"/>
    <col min="14833" max="14833" width="14.1640625" style="55" customWidth="1"/>
    <col min="14834" max="14834" width="9.33203125" style="55" customWidth="1"/>
    <col min="14835" max="14835" width="11.1640625" style="55" customWidth="1"/>
    <col min="14836" max="14836" width="9.1640625" style="55"/>
    <col min="14837" max="14837" width="10.33203125" style="55" customWidth="1"/>
    <col min="14838" max="14838" width="7.6640625" style="55" customWidth="1"/>
    <col min="14839" max="14839" width="12.6640625" style="55" customWidth="1"/>
    <col min="14840" max="14840" width="10.6640625" style="55" customWidth="1"/>
    <col min="14841" max="14841" width="12.83203125" style="55" customWidth="1"/>
    <col min="14842" max="14842" width="10.83203125" style="55" customWidth="1"/>
    <col min="14843" max="14843" width="12.5" style="55" customWidth="1"/>
    <col min="14844" max="14844" width="10.5" style="55" customWidth="1"/>
    <col min="14845" max="14845" width="13.1640625" style="55" customWidth="1"/>
    <col min="14846" max="14846" width="9.83203125" style="55" customWidth="1"/>
    <col min="14847" max="14847" width="13.6640625" style="55" customWidth="1"/>
    <col min="14848" max="14848" width="9.5" style="55" customWidth="1"/>
    <col min="14849" max="14849" width="12.5" style="55" customWidth="1"/>
    <col min="14850" max="14850" width="10" style="55" customWidth="1"/>
    <col min="14851" max="14851" width="13" style="55" customWidth="1"/>
    <col min="14852" max="14852" width="11" style="55" customWidth="1"/>
    <col min="14853" max="14853" width="13.83203125" style="55" customWidth="1"/>
    <col min="14854" max="14854" width="11.33203125" style="55" customWidth="1"/>
    <col min="14855" max="14855" width="13" style="55" customWidth="1"/>
    <col min="14856" max="14856" width="9" style="55" customWidth="1"/>
    <col min="14857" max="14857" width="3.83203125" style="55" customWidth="1"/>
    <col min="14858" max="14858" width="18.5" style="55" customWidth="1"/>
    <col min="14859" max="14859" width="10" style="55" customWidth="1"/>
    <col min="14860" max="15083" width="9.1640625" style="55"/>
    <col min="15084" max="15084" width="25.6640625" style="55" customWidth="1"/>
    <col min="15085" max="15085" width="9" style="55" customWidth="1"/>
    <col min="15086" max="15086" width="22" style="55" customWidth="1"/>
    <col min="15087" max="15087" width="4.5" style="55" customWidth="1"/>
    <col min="15088" max="15088" width="13.33203125" style="55" customWidth="1"/>
    <col min="15089" max="15089" width="14.1640625" style="55" customWidth="1"/>
    <col min="15090" max="15090" width="9.33203125" style="55" customWidth="1"/>
    <col min="15091" max="15091" width="11.1640625" style="55" customWidth="1"/>
    <col min="15092" max="15092" width="9.1640625" style="55"/>
    <col min="15093" max="15093" width="10.33203125" style="55" customWidth="1"/>
    <col min="15094" max="15094" width="7.6640625" style="55" customWidth="1"/>
    <col min="15095" max="15095" width="12.6640625" style="55" customWidth="1"/>
    <col min="15096" max="15096" width="10.6640625" style="55" customWidth="1"/>
    <col min="15097" max="15097" width="12.83203125" style="55" customWidth="1"/>
    <col min="15098" max="15098" width="10.83203125" style="55" customWidth="1"/>
    <col min="15099" max="15099" width="12.5" style="55" customWidth="1"/>
    <col min="15100" max="15100" width="10.5" style="55" customWidth="1"/>
    <col min="15101" max="15101" width="13.1640625" style="55" customWidth="1"/>
    <col min="15102" max="15102" width="9.83203125" style="55" customWidth="1"/>
    <col min="15103" max="15103" width="13.6640625" style="55" customWidth="1"/>
    <col min="15104" max="15104" width="9.5" style="55" customWidth="1"/>
    <col min="15105" max="15105" width="12.5" style="55" customWidth="1"/>
    <col min="15106" max="15106" width="10" style="55" customWidth="1"/>
    <col min="15107" max="15107" width="13" style="55" customWidth="1"/>
    <col min="15108" max="15108" width="11" style="55" customWidth="1"/>
    <col min="15109" max="15109" width="13.83203125" style="55" customWidth="1"/>
    <col min="15110" max="15110" width="11.33203125" style="55" customWidth="1"/>
    <col min="15111" max="15111" width="13" style="55" customWidth="1"/>
    <col min="15112" max="15112" width="9" style="55" customWidth="1"/>
    <col min="15113" max="15113" width="3.83203125" style="55" customWidth="1"/>
    <col min="15114" max="15114" width="18.5" style="55" customWidth="1"/>
    <col min="15115" max="15115" width="10" style="55" customWidth="1"/>
    <col min="15116" max="15339" width="9.1640625" style="55"/>
    <col min="15340" max="15340" width="25.6640625" style="55" customWidth="1"/>
    <col min="15341" max="15341" width="9" style="55" customWidth="1"/>
    <col min="15342" max="15342" width="22" style="55" customWidth="1"/>
    <col min="15343" max="15343" width="4.5" style="55" customWidth="1"/>
    <col min="15344" max="15344" width="13.33203125" style="55" customWidth="1"/>
    <col min="15345" max="15345" width="14.1640625" style="55" customWidth="1"/>
    <col min="15346" max="15346" width="9.33203125" style="55" customWidth="1"/>
    <col min="15347" max="15347" width="11.1640625" style="55" customWidth="1"/>
    <col min="15348" max="15348" width="9.1640625" style="55"/>
    <col min="15349" max="15349" width="10.33203125" style="55" customWidth="1"/>
    <col min="15350" max="15350" width="7.6640625" style="55" customWidth="1"/>
    <col min="15351" max="15351" width="12.6640625" style="55" customWidth="1"/>
    <col min="15352" max="15352" width="10.6640625" style="55" customWidth="1"/>
    <col min="15353" max="15353" width="12.83203125" style="55" customWidth="1"/>
    <col min="15354" max="15354" width="10.83203125" style="55" customWidth="1"/>
    <col min="15355" max="15355" width="12.5" style="55" customWidth="1"/>
    <col min="15356" max="15356" width="10.5" style="55" customWidth="1"/>
    <col min="15357" max="15357" width="13.1640625" style="55" customWidth="1"/>
    <col min="15358" max="15358" width="9.83203125" style="55" customWidth="1"/>
    <col min="15359" max="15359" width="13.6640625" style="55" customWidth="1"/>
    <col min="15360" max="15360" width="9.5" style="55" customWidth="1"/>
    <col min="15361" max="15361" width="12.5" style="55" customWidth="1"/>
    <col min="15362" max="15362" width="10" style="55" customWidth="1"/>
    <col min="15363" max="15363" width="13" style="55" customWidth="1"/>
    <col min="15364" max="15364" width="11" style="55" customWidth="1"/>
    <col min="15365" max="15365" width="13.83203125" style="55" customWidth="1"/>
    <col min="15366" max="15366" width="11.33203125" style="55" customWidth="1"/>
    <col min="15367" max="15367" width="13" style="55" customWidth="1"/>
    <col min="15368" max="15368" width="9" style="55" customWidth="1"/>
    <col min="15369" max="15369" width="3.83203125" style="55" customWidth="1"/>
    <col min="15370" max="15370" width="18.5" style="55" customWidth="1"/>
    <col min="15371" max="15371" width="10" style="55" customWidth="1"/>
    <col min="15372" max="15595" width="9.1640625" style="55"/>
    <col min="15596" max="15596" width="25.6640625" style="55" customWidth="1"/>
    <col min="15597" max="15597" width="9" style="55" customWidth="1"/>
    <col min="15598" max="15598" width="22" style="55" customWidth="1"/>
    <col min="15599" max="15599" width="4.5" style="55" customWidth="1"/>
    <col min="15600" max="15600" width="13.33203125" style="55" customWidth="1"/>
    <col min="15601" max="15601" width="14.1640625" style="55" customWidth="1"/>
    <col min="15602" max="15602" width="9.33203125" style="55" customWidth="1"/>
    <col min="15603" max="15603" width="11.1640625" style="55" customWidth="1"/>
    <col min="15604" max="15604" width="9.1640625" style="55"/>
    <col min="15605" max="15605" width="10.33203125" style="55" customWidth="1"/>
    <col min="15606" max="15606" width="7.6640625" style="55" customWidth="1"/>
    <col min="15607" max="15607" width="12.6640625" style="55" customWidth="1"/>
    <col min="15608" max="15608" width="10.6640625" style="55" customWidth="1"/>
    <col min="15609" max="15609" width="12.83203125" style="55" customWidth="1"/>
    <col min="15610" max="15610" width="10.83203125" style="55" customWidth="1"/>
    <col min="15611" max="15611" width="12.5" style="55" customWidth="1"/>
    <col min="15612" max="15612" width="10.5" style="55" customWidth="1"/>
    <col min="15613" max="15613" width="13.1640625" style="55" customWidth="1"/>
    <col min="15614" max="15614" width="9.83203125" style="55" customWidth="1"/>
    <col min="15615" max="15615" width="13.6640625" style="55" customWidth="1"/>
    <col min="15616" max="15616" width="9.5" style="55" customWidth="1"/>
    <col min="15617" max="15617" width="12.5" style="55" customWidth="1"/>
    <col min="15618" max="15618" width="10" style="55" customWidth="1"/>
    <col min="15619" max="15619" width="13" style="55" customWidth="1"/>
    <col min="15620" max="15620" width="11" style="55" customWidth="1"/>
    <col min="15621" max="15621" width="13.83203125" style="55" customWidth="1"/>
    <col min="15622" max="15622" width="11.33203125" style="55" customWidth="1"/>
    <col min="15623" max="15623" width="13" style="55" customWidth="1"/>
    <col min="15624" max="15624" width="9" style="55" customWidth="1"/>
    <col min="15625" max="15625" width="3.83203125" style="55" customWidth="1"/>
    <col min="15626" max="15626" width="18.5" style="55" customWidth="1"/>
    <col min="15627" max="15627" width="10" style="55" customWidth="1"/>
    <col min="15628" max="15851" width="9.1640625" style="55"/>
    <col min="15852" max="15852" width="25.6640625" style="55" customWidth="1"/>
    <col min="15853" max="15853" width="9" style="55" customWidth="1"/>
    <col min="15854" max="15854" width="22" style="55" customWidth="1"/>
    <col min="15855" max="15855" width="4.5" style="55" customWidth="1"/>
    <col min="15856" max="15856" width="13.33203125" style="55" customWidth="1"/>
    <col min="15857" max="15857" width="14.1640625" style="55" customWidth="1"/>
    <col min="15858" max="15858" width="9.33203125" style="55" customWidth="1"/>
    <col min="15859" max="15859" width="11.1640625" style="55" customWidth="1"/>
    <col min="15860" max="15860" width="9.1640625" style="55"/>
    <col min="15861" max="15861" width="10.33203125" style="55" customWidth="1"/>
    <col min="15862" max="15862" width="7.6640625" style="55" customWidth="1"/>
    <col min="15863" max="15863" width="12.6640625" style="55" customWidth="1"/>
    <col min="15864" max="15864" width="10.6640625" style="55" customWidth="1"/>
    <col min="15865" max="15865" width="12.83203125" style="55" customWidth="1"/>
    <col min="15866" max="15866" width="10.83203125" style="55" customWidth="1"/>
    <col min="15867" max="15867" width="12.5" style="55" customWidth="1"/>
    <col min="15868" max="15868" width="10.5" style="55" customWidth="1"/>
    <col min="15869" max="15869" width="13.1640625" style="55" customWidth="1"/>
    <col min="15870" max="15870" width="9.83203125" style="55" customWidth="1"/>
    <col min="15871" max="15871" width="13.6640625" style="55" customWidth="1"/>
    <col min="15872" max="15872" width="9.5" style="55" customWidth="1"/>
    <col min="15873" max="15873" width="12.5" style="55" customWidth="1"/>
    <col min="15874" max="15874" width="10" style="55" customWidth="1"/>
    <col min="15875" max="15875" width="13" style="55" customWidth="1"/>
    <col min="15876" max="15876" width="11" style="55" customWidth="1"/>
    <col min="15877" max="15877" width="13.83203125" style="55" customWidth="1"/>
    <col min="15878" max="15878" width="11.33203125" style="55" customWidth="1"/>
    <col min="15879" max="15879" width="13" style="55" customWidth="1"/>
    <col min="15880" max="15880" width="9" style="55" customWidth="1"/>
    <col min="15881" max="15881" width="3.83203125" style="55" customWidth="1"/>
    <col min="15882" max="15882" width="18.5" style="55" customWidth="1"/>
    <col min="15883" max="15883" width="10" style="55" customWidth="1"/>
    <col min="15884" max="16107" width="9.1640625" style="55"/>
    <col min="16108" max="16108" width="25.6640625" style="55" customWidth="1"/>
    <col min="16109" max="16109" width="9" style="55" customWidth="1"/>
    <col min="16110" max="16110" width="22" style="55" customWidth="1"/>
    <col min="16111" max="16111" width="4.5" style="55" customWidth="1"/>
    <col min="16112" max="16112" width="13.33203125" style="55" customWidth="1"/>
    <col min="16113" max="16113" width="14.1640625" style="55" customWidth="1"/>
    <col min="16114" max="16114" width="9.33203125" style="55" customWidth="1"/>
    <col min="16115" max="16115" width="11.1640625" style="55" customWidth="1"/>
    <col min="16116" max="16116" width="9.1640625" style="55"/>
    <col min="16117" max="16117" width="10.33203125" style="55" customWidth="1"/>
    <col min="16118" max="16118" width="7.6640625" style="55" customWidth="1"/>
    <col min="16119" max="16119" width="12.6640625" style="55" customWidth="1"/>
    <col min="16120" max="16120" width="10.6640625" style="55" customWidth="1"/>
    <col min="16121" max="16121" width="12.83203125" style="55" customWidth="1"/>
    <col min="16122" max="16122" width="10.83203125" style="55" customWidth="1"/>
    <col min="16123" max="16123" width="12.5" style="55" customWidth="1"/>
    <col min="16124" max="16124" width="10.5" style="55" customWidth="1"/>
    <col min="16125" max="16125" width="13.1640625" style="55" customWidth="1"/>
    <col min="16126" max="16126" width="9.83203125" style="55" customWidth="1"/>
    <col min="16127" max="16127" width="13.6640625" style="55" customWidth="1"/>
    <col min="16128" max="16128" width="9.5" style="55" customWidth="1"/>
    <col min="16129" max="16129" width="12.5" style="55" customWidth="1"/>
    <col min="16130" max="16130" width="10" style="55" customWidth="1"/>
    <col min="16131" max="16131" width="13" style="55" customWidth="1"/>
    <col min="16132" max="16132" width="11" style="55" customWidth="1"/>
    <col min="16133" max="16133" width="13.83203125" style="55" customWidth="1"/>
    <col min="16134" max="16134" width="11.33203125" style="55" customWidth="1"/>
    <col min="16135" max="16135" width="13" style="55" customWidth="1"/>
    <col min="16136" max="16136" width="9" style="55" customWidth="1"/>
    <col min="16137" max="16137" width="3.83203125" style="55" customWidth="1"/>
    <col min="16138" max="16138" width="18.5" style="55" customWidth="1"/>
    <col min="16139" max="16139" width="10" style="55" customWidth="1"/>
    <col min="16140" max="16384" width="9.1640625" style="55"/>
  </cols>
  <sheetData>
    <row r="1" spans="2:34" s="40" customFormat="1" ht="15" customHeight="1" x14ac:dyDescent="0.15">
      <c r="B1" s="1165" t="s">
        <v>1471</v>
      </c>
      <c r="C1" s="1165"/>
      <c r="D1" s="156"/>
      <c r="E1" s="157"/>
      <c r="F1" s="158"/>
      <c r="G1" s="356"/>
      <c r="H1" s="356"/>
      <c r="I1" s="357"/>
      <c r="J1" s="356"/>
      <c r="K1" s="356"/>
      <c r="L1" s="981" t="s">
        <v>1478</v>
      </c>
      <c r="Q1" s="41"/>
      <c r="R1" s="42"/>
      <c r="Y1" s="43"/>
      <c r="AB1" s="44"/>
    </row>
    <row r="2" spans="2:34" s="40" customFormat="1" ht="15" customHeight="1" x14ac:dyDescent="0.15">
      <c r="C2" s="301"/>
      <c r="D2" s="45"/>
      <c r="E2" s="46"/>
      <c r="F2" s="47"/>
      <c r="G2" s="358"/>
      <c r="H2" s="359"/>
      <c r="I2" s="51"/>
      <c r="J2" s="360"/>
      <c r="K2" s="360"/>
      <c r="L2" s="359"/>
      <c r="Q2" s="48"/>
      <c r="V2" s="49"/>
      <c r="X2" s="43"/>
      <c r="AA2" s="44"/>
    </row>
    <row r="3" spans="2:34" s="40" customFormat="1" ht="15" customHeight="1" x14ac:dyDescent="0.2">
      <c r="B3" s="50" t="s">
        <v>728</v>
      </c>
      <c r="C3" s="1080" t="str">
        <f>IF(CANOPY!C3="","",CANOPY!C3)</f>
        <v/>
      </c>
      <c r="D3" s="1080"/>
      <c r="E3" s="165"/>
      <c r="F3" s="177" t="s">
        <v>75</v>
      </c>
      <c r="G3" s="1080" t="str">
        <f>IF(CANOPY!G3="","",CANOPY!G3)</f>
        <v/>
      </c>
      <c r="H3" s="1080"/>
      <c r="I3" s="51"/>
      <c r="J3" s="360"/>
      <c r="K3" s="360"/>
      <c r="L3" s="359"/>
      <c r="Q3" s="48"/>
      <c r="X3" s="43"/>
      <c r="AA3" s="44"/>
    </row>
    <row r="4" spans="2:34" s="40" customFormat="1" ht="15" customHeight="1" x14ac:dyDescent="0.2">
      <c r="C4" s="471"/>
      <c r="D4" s="472"/>
      <c r="E4" s="178"/>
      <c r="F4" s="179"/>
      <c r="G4" s="471"/>
      <c r="H4" s="471"/>
      <c r="I4" s="51"/>
      <c r="J4" s="360"/>
      <c r="K4" s="360"/>
      <c r="L4" s="359"/>
      <c r="Q4" s="48"/>
      <c r="X4" s="43"/>
      <c r="AA4" s="44"/>
    </row>
    <row r="5" spans="2:34" s="40" customFormat="1" ht="15" customHeight="1" x14ac:dyDescent="0.2">
      <c r="B5" s="50" t="s">
        <v>72</v>
      </c>
      <c r="C5" s="1166" t="str">
        <f>IF(CANOPY!C5="","",CANOPY!C5)</f>
        <v/>
      </c>
      <c r="D5" s="1166"/>
      <c r="E5" s="173"/>
      <c r="F5" s="177" t="s">
        <v>74</v>
      </c>
      <c r="G5" s="1080" t="str">
        <f>IF(CANOPY!G5="","",CANOPY!G5)</f>
        <v/>
      </c>
      <c r="H5" s="1080"/>
      <c r="I5" s="51"/>
      <c r="J5" s="360"/>
      <c r="K5" s="360"/>
      <c r="L5" s="359"/>
      <c r="N5" s="52"/>
      <c r="O5" s="52"/>
      <c r="Q5" s="48"/>
      <c r="R5" s="49"/>
      <c r="X5" s="43"/>
      <c r="AA5" s="44"/>
    </row>
    <row r="6" spans="2:34" s="40" customFormat="1" ht="15" customHeight="1" x14ac:dyDescent="0.2">
      <c r="B6" s="50"/>
      <c r="C6" s="321"/>
      <c r="D6" s="471"/>
      <c r="E6" s="180"/>
      <c r="F6" s="179"/>
      <c r="G6" s="471"/>
      <c r="H6" s="471"/>
      <c r="I6" s="51"/>
      <c r="J6" s="360"/>
      <c r="K6" s="360"/>
      <c r="L6" s="359"/>
      <c r="N6" s="52"/>
      <c r="O6" s="52"/>
      <c r="Q6" s="48"/>
      <c r="R6" s="49"/>
      <c r="X6" s="53"/>
      <c r="AA6" s="44"/>
    </row>
    <row r="7" spans="2:34" s="40" customFormat="1" ht="15" customHeight="1" x14ac:dyDescent="0.2">
      <c r="B7" s="80" t="s">
        <v>729</v>
      </c>
      <c r="C7" s="1166" t="str">
        <f>IF(CANOPY!C7="","",CANOPY!C7)</f>
        <v/>
      </c>
      <c r="D7" s="1166"/>
      <c r="E7" s="180"/>
      <c r="F7" s="181" t="s">
        <v>73</v>
      </c>
      <c r="G7" s="1083" t="str">
        <f>IF(CANOPY!G7="","",CANOPY!G7)</f>
        <v/>
      </c>
      <c r="H7" s="1083"/>
      <c r="I7" s="51"/>
      <c r="J7" s="361"/>
      <c r="K7" s="361" t="s">
        <v>76</v>
      </c>
      <c r="L7" s="575" t="str">
        <f>IF(CANOPY!O7="","",CANOPY!O7)</f>
        <v/>
      </c>
      <c r="M7" s="1091" t="s">
        <v>1370</v>
      </c>
      <c r="N7" s="1091"/>
      <c r="O7" s="1091"/>
      <c r="Q7" s="48"/>
      <c r="R7" s="49"/>
      <c r="X7" s="53"/>
      <c r="AA7" s="44"/>
    </row>
    <row r="8" spans="2:34" s="40" customFormat="1" ht="15" customHeight="1" x14ac:dyDescent="0.15">
      <c r="C8" s="51"/>
      <c r="D8" s="51"/>
      <c r="E8" s="43"/>
      <c r="F8" s="47"/>
      <c r="G8" s="360"/>
      <c r="H8" s="359"/>
      <c r="I8" s="51"/>
      <c r="J8" s="360"/>
      <c r="K8" s="360"/>
      <c r="L8" s="359"/>
      <c r="Q8" s="48"/>
      <c r="X8" s="53"/>
      <c r="AA8" s="44"/>
    </row>
    <row r="9" spans="2:34" s="40" customFormat="1" ht="15" customHeight="1" x14ac:dyDescent="0.15">
      <c r="B9" s="38" t="s">
        <v>348</v>
      </c>
      <c r="C9" s="955">
        <v>0</v>
      </c>
      <c r="D9" s="377">
        <f>IF(C9=0,0,(SUBTOTAL(9,J15:J61)/(1-C9))-J9)</f>
        <v>0</v>
      </c>
      <c r="E9" s="155"/>
      <c r="F9" s="155"/>
      <c r="H9" s="25">
        <f>SUBTOTAL(9,H11:H61)</f>
        <v>1368</v>
      </c>
      <c r="I9" s="973">
        <f>IF(L9=0,"-",L9/J9)</f>
        <v>0.33</v>
      </c>
      <c r="J9" s="25">
        <f>SUBTOTAL(9,J11:J61)</f>
        <v>2041.7910447761196</v>
      </c>
      <c r="K9" s="464">
        <f>SUBTOTAL(9,K11:K61)</f>
        <v>2041.7910447761196</v>
      </c>
      <c r="L9" s="25">
        <f>SUBTOTAL(9,L11:L61)</f>
        <v>673.79104477611952</v>
      </c>
      <c r="S9" s="48"/>
      <c r="V9" s="48"/>
      <c r="Y9" s="48"/>
      <c r="AH9" s="48"/>
    </row>
    <row r="10" spans="2:34" s="40" customFormat="1" ht="15" customHeight="1" x14ac:dyDescent="0.15">
      <c r="B10" s="317" t="s">
        <v>348</v>
      </c>
      <c r="C10" s="317" t="s">
        <v>537</v>
      </c>
      <c r="D10" s="317" t="s">
        <v>536</v>
      </c>
      <c r="E10" s="2"/>
      <c r="F10" s="2"/>
      <c r="G10" s="1" t="s">
        <v>204</v>
      </c>
      <c r="H10" s="2" t="s">
        <v>34</v>
      </c>
      <c r="I10" s="3" t="s">
        <v>141</v>
      </c>
      <c r="J10" s="4" t="s">
        <v>127</v>
      </c>
      <c r="K10" s="4" t="s">
        <v>205</v>
      </c>
      <c r="L10" s="5" t="s">
        <v>206</v>
      </c>
      <c r="P10" s="586"/>
      <c r="S10" s="48"/>
      <c r="V10" s="48"/>
      <c r="Y10" s="48"/>
      <c r="AH10" s="48"/>
    </row>
    <row r="11" spans="2:34" ht="15" customHeight="1" x14ac:dyDescent="0.15">
      <c r="D11" s="55"/>
    </row>
    <row r="12" spans="2:34" ht="15" customHeight="1" x14ac:dyDescent="0.15">
      <c r="B12" s="56" t="s">
        <v>1418</v>
      </c>
      <c r="D12" s="55"/>
      <c r="E12" s="155"/>
      <c r="F12" s="155"/>
    </row>
    <row r="13" spans="2:34" ht="15" customHeight="1" x14ac:dyDescent="0.15">
      <c r="B13" s="491" t="s">
        <v>1419</v>
      </c>
      <c r="C13" s="38" t="s">
        <v>212</v>
      </c>
      <c r="D13" s="58"/>
      <c r="E13" s="390" t="s">
        <v>141</v>
      </c>
      <c r="F13" s="391">
        <v>0.4</v>
      </c>
      <c r="G13" s="61"/>
      <c r="H13" s="61">
        <f>SUBTOTAL(9,H15:H37)</f>
        <v>0</v>
      </c>
      <c r="I13" s="39" t="str">
        <f>IF(H13=0,"-",L13/J13)</f>
        <v>-</v>
      </c>
      <c r="J13" s="61">
        <f>SUBTOTAL(9,J15:J37)</f>
        <v>0</v>
      </c>
      <c r="K13" s="465">
        <f>SUBTOTAL(9,K15:K37)</f>
        <v>0</v>
      </c>
      <c r="L13" s="61">
        <f>SUBTOTAL(9,L15:L37)</f>
        <v>0</v>
      </c>
    </row>
    <row r="14" spans="2:34" ht="15" customHeight="1" x14ac:dyDescent="0.15">
      <c r="B14" s="35" t="s">
        <v>0</v>
      </c>
      <c r="C14" s="54" t="s">
        <v>1</v>
      </c>
      <c r="D14" s="54" t="s">
        <v>2</v>
      </c>
      <c r="E14" s="246"/>
      <c r="F14" s="247"/>
      <c r="G14" s="248"/>
      <c r="H14" s="248"/>
      <c r="I14" s="249"/>
      <c r="J14" s="248"/>
      <c r="K14" s="248"/>
      <c r="L14" s="248"/>
    </row>
    <row r="15" spans="2:34" ht="15" customHeight="1" x14ac:dyDescent="0.15">
      <c r="B15" s="269" t="s">
        <v>88</v>
      </c>
      <c r="C15" s="84" t="s">
        <v>77</v>
      </c>
      <c r="D15" s="87"/>
      <c r="E15" s="82"/>
      <c r="F15" s="82"/>
      <c r="G15" s="380">
        <f>IF(C13="external",VLOOKUP(C15,'Base Costs'!$AP$6:$AR$16,2,FALSE),VLOOKUP(C15,'Base Costs'!$AP$6:$AR$16,3,FALSE))</f>
        <v>0</v>
      </c>
      <c r="H15" s="378">
        <f t="shared" ref="H15:H22" si="0">D15*G15</f>
        <v>0</v>
      </c>
      <c r="I15" s="463">
        <v>0.44</v>
      </c>
      <c r="J15" s="311">
        <f>H15/(1-I15)*(1+$C$9)</f>
        <v>0</v>
      </c>
      <c r="K15" s="378">
        <f>J15*VLOOKUP($B$9,'Base Costs'!$A$32:$B$37,2,FALSE)</f>
        <v>0</v>
      </c>
      <c r="L15" s="379">
        <f>K15-H15</f>
        <v>0</v>
      </c>
    </row>
    <row r="16" spans="2:34" ht="15" customHeight="1" x14ac:dyDescent="0.15">
      <c r="B16" s="269" t="s">
        <v>91</v>
      </c>
      <c r="C16" s="84" t="s">
        <v>77</v>
      </c>
      <c r="D16" s="87"/>
      <c r="E16" s="82"/>
      <c r="F16" s="82"/>
      <c r="G16" s="380">
        <f>IF(C13="external",VLOOKUP(C16,'Base Costs'!$AP$20:$AR$30,2,FALSE),VLOOKUP(C16,'Base Costs'!$AP$20:$AR$30,3,FALSE))</f>
        <v>0</v>
      </c>
      <c r="H16" s="378">
        <f t="shared" si="0"/>
        <v>0</v>
      </c>
      <c r="I16" s="463">
        <v>0.44</v>
      </c>
      <c r="J16" s="311">
        <f t="shared" ref="J16:J37" si="1">H16/(1-I16)*(1+$C$9)</f>
        <v>0</v>
      </c>
      <c r="K16" s="378">
        <f>J16*VLOOKUP($B$9,'Base Costs'!$A$32:$B$37,2,FALSE)</f>
        <v>0</v>
      </c>
      <c r="L16" s="379">
        <f t="shared" ref="L16:L37" si="2">K16-H16</f>
        <v>0</v>
      </c>
    </row>
    <row r="17" spans="2:13" ht="15" customHeight="1" x14ac:dyDescent="0.15">
      <c r="B17" s="269" t="s">
        <v>92</v>
      </c>
      <c r="C17" s="84" t="s">
        <v>77</v>
      </c>
      <c r="D17" s="87"/>
      <c r="E17" s="82"/>
      <c r="F17" s="82"/>
      <c r="G17" s="380">
        <f>IF(C13="external",VLOOKUP(C17,'Base Costs'!$AP$33:$AR$43,2,FALSE),VLOOKUP(C17,'Base Costs'!$AP$33:$AR$43,3,FALSE))</f>
        <v>0</v>
      </c>
      <c r="H17" s="378">
        <f t="shared" si="0"/>
        <v>0</v>
      </c>
      <c r="I17" s="463">
        <v>0.44</v>
      </c>
      <c r="J17" s="311">
        <f t="shared" si="1"/>
        <v>0</v>
      </c>
      <c r="K17" s="378">
        <f>J17*VLOOKUP($B$9,'Base Costs'!$A$32:$B$37,2,FALSE)</f>
        <v>0</v>
      </c>
      <c r="L17" s="379">
        <f t="shared" si="2"/>
        <v>0</v>
      </c>
    </row>
    <row r="18" spans="2:13" ht="15" customHeight="1" x14ac:dyDescent="0.15">
      <c r="B18" s="269" t="s">
        <v>31</v>
      </c>
      <c r="C18" s="84" t="s">
        <v>77</v>
      </c>
      <c r="D18" s="87"/>
      <c r="E18" s="82"/>
      <c r="F18" s="82"/>
      <c r="G18" s="380">
        <f>IF(C13="external",VLOOKUP(C18,'Base Costs'!$AP$46:$AR$56,2,FALSE),VLOOKUP(C18,'Base Costs'!$AP$46:$AR$56,3,FALSE))</f>
        <v>0</v>
      </c>
      <c r="H18" s="378">
        <f t="shared" si="0"/>
        <v>0</v>
      </c>
      <c r="I18" s="463">
        <v>0.44</v>
      </c>
      <c r="J18" s="311">
        <f t="shared" si="1"/>
        <v>0</v>
      </c>
      <c r="K18" s="378">
        <f>J18*VLOOKUP($B$9,'Base Costs'!$A$32:$B$37,2,FALSE)</f>
        <v>0</v>
      </c>
      <c r="L18" s="379">
        <f t="shared" si="2"/>
        <v>0</v>
      </c>
    </row>
    <row r="19" spans="2:13" s="63" customFormat="1" ht="15" customHeight="1" x14ac:dyDescent="0.15">
      <c r="B19" s="269" t="s">
        <v>89</v>
      </c>
      <c r="C19" s="84" t="s">
        <v>77</v>
      </c>
      <c r="D19" s="87"/>
      <c r="E19" s="83"/>
      <c r="F19" s="83"/>
      <c r="G19" s="380">
        <f>IF(C14="external",VLOOKUP(C19,'Base Costs'!$AP$59:$AR$69,2,FALSE),VLOOKUP(C19,'Base Costs'!$AP$59:$AR$69,3,FALSE))</f>
        <v>0</v>
      </c>
      <c r="H19" s="378">
        <f t="shared" si="0"/>
        <v>0</v>
      </c>
      <c r="I19" s="463">
        <v>0.44</v>
      </c>
      <c r="J19" s="311">
        <f t="shared" si="1"/>
        <v>0</v>
      </c>
      <c r="K19" s="378">
        <f>J19*VLOOKUP($B$9,'Base Costs'!$A$32:$B$37,2,FALSE)</f>
        <v>0</v>
      </c>
      <c r="L19" s="379">
        <f t="shared" si="2"/>
        <v>0</v>
      </c>
    </row>
    <row r="20" spans="2:13" s="63" customFormat="1" ht="15" customHeight="1" x14ac:dyDescent="0.15">
      <c r="B20" s="269" t="s">
        <v>30</v>
      </c>
      <c r="C20" s="84" t="s">
        <v>77</v>
      </c>
      <c r="D20" s="87"/>
      <c r="E20" s="83"/>
      <c r="F20" s="83"/>
      <c r="G20" s="380">
        <f>IF(C13="external",VLOOKUP(C20,'Base Costs'!$AP$72:$AR$82,2,FALSE),VLOOKUP(C20,'Base Costs'!$AP$72:$AR$82,3,FALSE))</f>
        <v>0</v>
      </c>
      <c r="H20" s="378">
        <f t="shared" si="0"/>
        <v>0</v>
      </c>
      <c r="I20" s="463">
        <v>0.44</v>
      </c>
      <c r="J20" s="311">
        <f t="shared" si="1"/>
        <v>0</v>
      </c>
      <c r="K20" s="378">
        <f>J20*VLOOKUP($B$9,'Base Costs'!$A$32:$B$37,2,FALSE)</f>
        <v>0</v>
      </c>
      <c r="L20" s="379">
        <f t="shared" si="2"/>
        <v>0</v>
      </c>
    </row>
    <row r="21" spans="2:13" s="63" customFormat="1" ht="15" customHeight="1" x14ac:dyDescent="0.15">
      <c r="B21" s="269" t="s">
        <v>873</v>
      </c>
      <c r="C21" s="84" t="s">
        <v>77</v>
      </c>
      <c r="D21" s="87"/>
      <c r="E21" s="83"/>
      <c r="F21" s="83"/>
      <c r="G21" s="380">
        <f>IF(C13="external",VLOOKUP(C21,'Base Costs'!$AP$85:$AR$95,2,FALSE),VLOOKUP(C21,'Base Costs'!$AP$85:$AR$95,3,FALSE))</f>
        <v>0</v>
      </c>
      <c r="H21" s="378">
        <f t="shared" si="0"/>
        <v>0</v>
      </c>
      <c r="I21" s="463">
        <v>0.44</v>
      </c>
      <c r="J21" s="311">
        <f t="shared" si="1"/>
        <v>0</v>
      </c>
      <c r="K21" s="378">
        <f>J21*VLOOKUP($B$9,'Base Costs'!$A$32:$B$37,2,FALSE)</f>
        <v>0</v>
      </c>
      <c r="L21" s="379">
        <f t="shared" si="2"/>
        <v>0</v>
      </c>
    </row>
    <row r="22" spans="2:13" s="63" customFormat="1" ht="15" customHeight="1" x14ac:dyDescent="0.15">
      <c r="B22" s="269" t="s">
        <v>93</v>
      </c>
      <c r="C22" s="84" t="s">
        <v>77</v>
      </c>
      <c r="D22" s="87"/>
      <c r="E22" s="83"/>
      <c r="F22" s="83"/>
      <c r="G22" s="380">
        <f>IF(C13="external",VLOOKUP(C22,'Base Costs'!$AP$98:$AR$108,2,FALSE),VLOOKUP(C22,'Base Costs'!$AP$98:$AR$108,3,FALSE))</f>
        <v>0</v>
      </c>
      <c r="H22" s="378">
        <f t="shared" si="0"/>
        <v>0</v>
      </c>
      <c r="I22" s="463">
        <v>0.44</v>
      </c>
      <c r="J22" s="311">
        <f t="shared" si="1"/>
        <v>0</v>
      </c>
      <c r="K22" s="378">
        <f>J22*VLOOKUP($B$9,'Base Costs'!$A$32:$B$37,2,FALSE)</f>
        <v>0</v>
      </c>
      <c r="L22" s="379">
        <f t="shared" si="2"/>
        <v>0</v>
      </c>
    </row>
    <row r="23" spans="2:13" s="63" customFormat="1" ht="15" customHeight="1" x14ac:dyDescent="0.15">
      <c r="B23" s="269" t="s">
        <v>1098</v>
      </c>
      <c r="C23" s="84" t="s">
        <v>77</v>
      </c>
      <c r="D23" s="87"/>
      <c r="E23" s="83"/>
      <c r="F23" s="83"/>
      <c r="G23" s="380">
        <f>IF(C14="external",VLOOKUP(C23,'Base Costs'!$AP$111:$AR$121,2,FALSE),VLOOKUP(C23,'Base Costs'!$AP$111:$AR$121,3,FALSE))</f>
        <v>0</v>
      </c>
      <c r="H23" s="378">
        <f t="shared" ref="H23" si="3">D23*G23</f>
        <v>0</v>
      </c>
      <c r="I23" s="463">
        <v>0.44</v>
      </c>
      <c r="J23" s="311">
        <f t="shared" ref="J23" si="4">H23/(1-I23)*(1+$C$9)</f>
        <v>0</v>
      </c>
      <c r="K23" s="378">
        <f>J23*VLOOKUP($B$9,'Base Costs'!$A$32:$B$37,2,FALSE)</f>
        <v>0</v>
      </c>
      <c r="L23" s="379">
        <f t="shared" ref="L23" si="5">K23-H23</f>
        <v>0</v>
      </c>
    </row>
    <row r="24" spans="2:13" ht="15" customHeight="1" x14ac:dyDescent="0.15">
      <c r="B24" s="269"/>
      <c r="C24" s="88"/>
      <c r="D24" s="89"/>
      <c r="E24" s="88"/>
      <c r="F24" s="88"/>
      <c r="G24" s="363"/>
      <c r="H24" s="363"/>
      <c r="I24" s="463">
        <v>0.44</v>
      </c>
      <c r="J24" s="363"/>
      <c r="K24" s="378">
        <f>J24*VLOOKUP($B$9,'Base Costs'!$A$32:$B$37,2,FALSE)</f>
        <v>0</v>
      </c>
      <c r="L24" s="379">
        <f t="shared" si="2"/>
        <v>0</v>
      </c>
    </row>
    <row r="25" spans="2:13" ht="15" customHeight="1" x14ac:dyDescent="0.15">
      <c r="B25" s="984" t="s">
        <v>1368</v>
      </c>
      <c r="C25" s="1024"/>
      <c r="D25" s="1025"/>
      <c r="E25" s="1026"/>
      <c r="F25" s="1026"/>
      <c r="G25" s="1028">
        <v>50</v>
      </c>
      <c r="H25" s="1002">
        <f t="shared" ref="H25" si="6">D25*G25</f>
        <v>0</v>
      </c>
      <c r="I25" s="1027">
        <v>0.44</v>
      </c>
      <c r="J25" s="1004">
        <f t="shared" ref="J25" si="7">H25/(1-I25)*(1+$C$9)</f>
        <v>0</v>
      </c>
      <c r="K25" s="1002">
        <f>J25*VLOOKUP($B$9,'Base Costs'!$A$32:$B$37,2,FALSE)</f>
        <v>0</v>
      </c>
      <c r="L25" s="1005">
        <f t="shared" ref="L25" si="8">K25-H25</f>
        <v>0</v>
      </c>
      <c r="M25" s="1029" t="s">
        <v>1360</v>
      </c>
    </row>
    <row r="26" spans="2:13" s="63" customFormat="1" ht="15" customHeight="1" x14ac:dyDescent="0.15">
      <c r="B26" s="269" t="s">
        <v>33</v>
      </c>
      <c r="C26" s="90"/>
      <c r="D26" s="87"/>
      <c r="E26" s="73"/>
      <c r="F26" s="73"/>
      <c r="G26" s="380"/>
      <c r="H26" s="378">
        <f t="shared" ref="H26:H29" si="9">D26*G26</f>
        <v>0</v>
      </c>
      <c r="I26" s="463">
        <v>0.44</v>
      </c>
      <c r="J26" s="311">
        <f t="shared" si="1"/>
        <v>0</v>
      </c>
      <c r="K26" s="378">
        <f>J26*VLOOKUP($B$9,'Base Costs'!$A$32:$B$37,2,FALSE)</f>
        <v>0</v>
      </c>
      <c r="L26" s="379">
        <f t="shared" si="2"/>
        <v>0</v>
      </c>
    </row>
    <row r="27" spans="2:13" s="63" customFormat="1" ht="15" customHeight="1" x14ac:dyDescent="0.15">
      <c r="B27" s="269"/>
      <c r="C27" s="92"/>
      <c r="D27" s="93">
        <v>0</v>
      </c>
      <c r="E27" s="473"/>
      <c r="F27" s="73"/>
      <c r="G27" s="380"/>
      <c r="H27" s="378">
        <f t="shared" si="9"/>
        <v>0</v>
      </c>
      <c r="I27" s="463">
        <v>0.44</v>
      </c>
      <c r="J27" s="311">
        <f t="shared" si="1"/>
        <v>0</v>
      </c>
      <c r="K27" s="378">
        <f>J27*VLOOKUP($B$9,'Base Costs'!$A$32:$B$37,2,FALSE)</f>
        <v>0</v>
      </c>
      <c r="L27" s="379">
        <f t="shared" si="2"/>
        <v>0</v>
      </c>
    </row>
    <row r="28" spans="2:13" s="63" customFormat="1" ht="15" customHeight="1" x14ac:dyDescent="0.15">
      <c r="B28" s="269" t="s">
        <v>806</v>
      </c>
      <c r="C28" s="474" t="s">
        <v>805</v>
      </c>
      <c r="D28" s="475"/>
      <c r="E28" s="83" t="s">
        <v>807</v>
      </c>
      <c r="F28" s="83"/>
      <c r="G28" s="380">
        <v>103</v>
      </c>
      <c r="H28" s="378">
        <f t="shared" si="9"/>
        <v>0</v>
      </c>
      <c r="I28" s="463">
        <v>0.44</v>
      </c>
      <c r="J28" s="311">
        <f t="shared" si="1"/>
        <v>0</v>
      </c>
      <c r="K28" s="378">
        <f>J28*VLOOKUP($B$9,'Base Costs'!$A$32:$B$37,2,FALSE)</f>
        <v>0</v>
      </c>
      <c r="L28" s="379">
        <f t="shared" si="2"/>
        <v>0</v>
      </c>
    </row>
    <row r="29" spans="2:13" s="63" customFormat="1" ht="15" customHeight="1" x14ac:dyDescent="0.15">
      <c r="B29" s="269" t="s">
        <v>806</v>
      </c>
      <c r="C29" s="476" t="s">
        <v>804</v>
      </c>
      <c r="D29" s="475"/>
      <c r="E29" s="83" t="s">
        <v>807</v>
      </c>
      <c r="F29" s="83"/>
      <c r="G29" s="380">
        <v>135</v>
      </c>
      <c r="H29" s="378">
        <f t="shared" si="9"/>
        <v>0</v>
      </c>
      <c r="I29" s="463">
        <v>0.44</v>
      </c>
      <c r="J29" s="311">
        <f t="shared" si="1"/>
        <v>0</v>
      </c>
      <c r="K29" s="378">
        <f>J29*VLOOKUP($B$9,'Base Costs'!$A$32:$B$37,2,FALSE)</f>
        <v>0</v>
      </c>
      <c r="L29" s="379">
        <f t="shared" si="2"/>
        <v>0</v>
      </c>
    </row>
    <row r="30" spans="2:13" s="63" customFormat="1" ht="15" customHeight="1" x14ac:dyDescent="0.15">
      <c r="B30" s="924" t="s">
        <v>1309</v>
      </c>
      <c r="C30" s="925" t="s">
        <v>1308</v>
      </c>
      <c r="D30" s="1075"/>
      <c r="E30" s="483"/>
      <c r="F30" s="877"/>
      <c r="G30" s="798">
        <v>100</v>
      </c>
      <c r="H30" s="488">
        <f>D30*G30</f>
        <v>0</v>
      </c>
      <c r="I30" s="463">
        <v>0</v>
      </c>
      <c r="J30" s="311">
        <f>H30/(1-I30)*(1+$C$9)</f>
        <v>0</v>
      </c>
      <c r="K30" s="378">
        <f>J30*VLOOKUP($B$9,'Base Costs'!$A$32:$B$37,2,FALSE)</f>
        <v>0</v>
      </c>
      <c r="L30" s="379">
        <f>K30-H30</f>
        <v>0</v>
      </c>
    </row>
    <row r="31" spans="2:13" s="63" customFormat="1" ht="15" customHeight="1" x14ac:dyDescent="0.15">
      <c r="B31" s="308"/>
      <c r="C31" s="81"/>
      <c r="D31" s="91"/>
      <c r="E31" s="83"/>
      <c r="F31" s="83"/>
      <c r="G31" s="380"/>
      <c r="H31" s="378"/>
      <c r="I31" s="463">
        <v>0.44</v>
      </c>
      <c r="J31" s="311">
        <f t="shared" si="1"/>
        <v>0</v>
      </c>
      <c r="K31" s="378">
        <f>J31*VLOOKUP($B$9,'Base Costs'!$A$32:$B$37,2,FALSE)</f>
        <v>0</v>
      </c>
      <c r="L31" s="379">
        <f t="shared" si="2"/>
        <v>0</v>
      </c>
    </row>
    <row r="32" spans="2:13" s="63" customFormat="1" ht="15" hidden="1" customHeight="1" x14ac:dyDescent="0.15">
      <c r="B32" s="308" t="s">
        <v>599</v>
      </c>
      <c r="C32" s="459"/>
      <c r="D32" s="87">
        <v>1</v>
      </c>
      <c r="E32" s="83"/>
      <c r="F32" s="83"/>
      <c r="G32" s="380">
        <f>C32</f>
        <v>0</v>
      </c>
      <c r="H32" s="378">
        <f>D32*G32</f>
        <v>0</v>
      </c>
      <c r="I32" s="463">
        <v>0.44</v>
      </c>
      <c r="J32" s="311">
        <f t="shared" si="1"/>
        <v>0</v>
      </c>
      <c r="K32" s="378">
        <f>J32*VLOOKUP($B$9,'Base Costs'!$A$32:$B$37,2,FALSE)</f>
        <v>0</v>
      </c>
      <c r="L32" s="379">
        <f t="shared" si="2"/>
        <v>0</v>
      </c>
    </row>
    <row r="33" spans="2:21" s="63" customFormat="1" ht="15" hidden="1" customHeight="1" x14ac:dyDescent="0.15">
      <c r="B33" s="308" t="s">
        <v>600</v>
      </c>
      <c r="C33" s="459"/>
      <c r="D33" s="477">
        <v>1</v>
      </c>
      <c r="E33" s="83"/>
      <c r="F33" s="83"/>
      <c r="G33" s="380">
        <f>C33</f>
        <v>0</v>
      </c>
      <c r="H33" s="378">
        <f>D33*G33</f>
        <v>0</v>
      </c>
      <c r="I33" s="463">
        <v>0.44</v>
      </c>
      <c r="J33" s="311">
        <f t="shared" si="1"/>
        <v>0</v>
      </c>
      <c r="K33" s="378">
        <f>J33*VLOOKUP($B$9,'Base Costs'!$A$32:$B$37,2,FALSE)</f>
        <v>0</v>
      </c>
      <c r="L33" s="379">
        <f t="shared" si="2"/>
        <v>0</v>
      </c>
    </row>
    <row r="34" spans="2:21" s="63" customFormat="1" ht="15" customHeight="1" x14ac:dyDescent="0.15">
      <c r="B34" s="476" t="s">
        <v>623</v>
      </c>
      <c r="C34" s="478" t="s">
        <v>624</v>
      </c>
      <c r="D34" s="478"/>
      <c r="E34" s="476"/>
      <c r="F34" s="478"/>
      <c r="G34" s="380">
        <f>SUM(H15:H23)*0.25</f>
        <v>0</v>
      </c>
      <c r="H34" s="378">
        <f>D34*G34</f>
        <v>0</v>
      </c>
      <c r="I34" s="463">
        <v>0.44</v>
      </c>
      <c r="J34" s="311">
        <f t="shared" si="1"/>
        <v>0</v>
      </c>
      <c r="K34" s="378">
        <f>J34*VLOOKUP($B$9,'Base Costs'!$A$32:$B$37,2,FALSE)</f>
        <v>0</v>
      </c>
      <c r="L34" s="379">
        <f t="shared" si="2"/>
        <v>0</v>
      </c>
    </row>
    <row r="35" spans="2:21" s="63" customFormat="1" ht="15" customHeight="1" x14ac:dyDescent="0.15">
      <c r="B35" s="476" t="s">
        <v>625</v>
      </c>
      <c r="C35" s="478"/>
      <c r="D35" s="478"/>
      <c r="E35" s="476"/>
      <c r="F35" s="478"/>
      <c r="G35" s="380">
        <v>107</v>
      </c>
      <c r="H35" s="378">
        <f>D35*G35</f>
        <v>0</v>
      </c>
      <c r="I35" s="463">
        <v>0.44</v>
      </c>
      <c r="J35" s="311">
        <f t="shared" si="1"/>
        <v>0</v>
      </c>
      <c r="K35" s="378">
        <f>J35*VLOOKUP($B$9,'Base Costs'!$A$32:$B$37,2,FALSE)</f>
        <v>0</v>
      </c>
      <c r="L35" s="379">
        <f t="shared" si="2"/>
        <v>0</v>
      </c>
    </row>
    <row r="36" spans="2:21" s="63" customFormat="1" ht="15" customHeight="1" x14ac:dyDescent="0.15">
      <c r="B36" s="476" t="s">
        <v>627</v>
      </c>
      <c r="C36" s="478"/>
      <c r="D36" s="478"/>
      <c r="E36" s="476"/>
      <c r="F36" s="478"/>
      <c r="G36" s="380">
        <v>30</v>
      </c>
      <c r="H36" s="378">
        <f>D36*G36</f>
        <v>0</v>
      </c>
      <c r="I36" s="463">
        <v>0.44</v>
      </c>
      <c r="J36" s="311">
        <f t="shared" si="1"/>
        <v>0</v>
      </c>
      <c r="K36" s="378">
        <f>J36*VLOOKUP($B$9,'Base Costs'!$A$32:$B$37,2,FALSE)</f>
        <v>0</v>
      </c>
      <c r="L36" s="379">
        <f t="shared" si="2"/>
        <v>0</v>
      </c>
    </row>
    <row r="37" spans="2:21" s="63" customFormat="1" ht="15" customHeight="1" x14ac:dyDescent="0.15">
      <c r="B37" s="476" t="s">
        <v>164</v>
      </c>
      <c r="C37" s="476"/>
      <c r="D37" s="478"/>
      <c r="E37" s="476"/>
      <c r="F37" s="478" t="s">
        <v>626</v>
      </c>
      <c r="G37" s="380">
        <v>0</v>
      </c>
      <c r="H37" s="378">
        <f t="shared" ref="H37" si="10">D37*G37</f>
        <v>0</v>
      </c>
      <c r="I37" s="463">
        <v>0.44</v>
      </c>
      <c r="J37" s="311">
        <f t="shared" si="1"/>
        <v>0</v>
      </c>
      <c r="K37" s="378">
        <f>J37*VLOOKUP($B$9,'Base Costs'!$A$32:$B$37,2,FALSE)</f>
        <v>0</v>
      </c>
      <c r="L37" s="379">
        <f t="shared" si="2"/>
        <v>0</v>
      </c>
    </row>
    <row r="38" spans="2:21" s="63" customFormat="1" ht="15" customHeight="1" x14ac:dyDescent="0.15">
      <c r="B38" s="67"/>
      <c r="D38" s="64"/>
      <c r="E38" s="62"/>
      <c r="F38" s="479"/>
      <c r="G38" s="364"/>
      <c r="H38" s="365"/>
      <c r="I38" s="96"/>
      <c r="J38" s="365"/>
      <c r="K38" s="366"/>
      <c r="L38" s="366"/>
    </row>
    <row r="39" spans="2:21" s="63" customFormat="1" ht="15" customHeight="1" x14ac:dyDescent="0.15">
      <c r="B39" s="85" t="s">
        <v>1479</v>
      </c>
      <c r="C39" s="85"/>
      <c r="D39" s="86"/>
      <c r="E39" s="85"/>
      <c r="F39" s="85"/>
      <c r="G39" s="61"/>
      <c r="H39" s="154">
        <f>SUBTOTAL(9,H40:H49)</f>
        <v>0</v>
      </c>
      <c r="I39" s="39" t="str">
        <f>IF(H39=0,"-",L39/J39)</f>
        <v>-</v>
      </c>
      <c r="J39" s="61">
        <f>SUBTOTAL(9,J40:J49)</f>
        <v>0</v>
      </c>
      <c r="K39" s="465">
        <f>SUBTOTAL(9,K40:K49)</f>
        <v>0</v>
      </c>
      <c r="L39" s="61">
        <f>SUBTOTAL(9,L40:L49)</f>
        <v>0</v>
      </c>
    </row>
    <row r="40" spans="2:21" s="63" customFormat="1" ht="15" customHeight="1" x14ac:dyDescent="0.15">
      <c r="B40" s="476" t="s">
        <v>1005</v>
      </c>
      <c r="C40" s="476"/>
      <c r="D40" s="480"/>
      <c r="E40" s="481"/>
      <c r="F40" s="476"/>
      <c r="G40" s="380">
        <v>1995</v>
      </c>
      <c r="H40" s="378">
        <f t="shared" ref="H40:H49" si="11">D40*G40</f>
        <v>0</v>
      </c>
      <c r="I40" s="463">
        <v>0.35</v>
      </c>
      <c r="J40" s="311">
        <f t="shared" ref="J40:J49" si="12">H40/(1-I40)*(1+$C$9)</f>
        <v>0</v>
      </c>
      <c r="K40" s="378">
        <f>J40*VLOOKUP($B$9,'Base Costs'!$A$32:$B$37,2,FALSE)</f>
        <v>0</v>
      </c>
      <c r="L40" s="379">
        <f t="shared" ref="L40:L49" si="13">K40-H40</f>
        <v>0</v>
      </c>
      <c r="O40" s="873"/>
      <c r="S40" s="873"/>
    </row>
    <row r="41" spans="2:21" s="63" customFormat="1" ht="15" customHeight="1" x14ac:dyDescent="0.15">
      <c r="B41" s="476" t="s">
        <v>1006</v>
      </c>
      <c r="C41" s="476"/>
      <c r="D41" s="482"/>
      <c r="E41" s="483"/>
      <c r="F41" s="476"/>
      <c r="G41" s="380">
        <v>1810</v>
      </c>
      <c r="H41" s="378">
        <f t="shared" si="11"/>
        <v>0</v>
      </c>
      <c r="I41" s="463">
        <v>0.35</v>
      </c>
      <c r="J41" s="311">
        <f t="shared" si="12"/>
        <v>0</v>
      </c>
      <c r="K41" s="378">
        <f>J41*VLOOKUP($B$9,'Base Costs'!$A$32:$B$37,2,FALSE)</f>
        <v>0</v>
      </c>
      <c r="L41" s="379">
        <f t="shared" si="13"/>
        <v>0</v>
      </c>
      <c r="O41" s="873"/>
      <c r="S41" s="873"/>
    </row>
    <row r="42" spans="2:21" s="63" customFormat="1" ht="15" customHeight="1" x14ac:dyDescent="0.15">
      <c r="B42" s="476"/>
      <c r="C42" s="476"/>
      <c r="D42" s="484"/>
      <c r="E42" s="483"/>
      <c r="F42" s="876"/>
      <c r="G42" s="798"/>
      <c r="H42" s="378">
        <f t="shared" si="11"/>
        <v>0</v>
      </c>
      <c r="I42" s="463">
        <v>0</v>
      </c>
      <c r="J42" s="311">
        <f t="shared" si="12"/>
        <v>0</v>
      </c>
      <c r="K42" s="378">
        <f>J42*VLOOKUP($B$9,'Base Costs'!$A$32:$B$37,2,FALSE)</f>
        <v>0</v>
      </c>
      <c r="L42" s="379">
        <f t="shared" si="13"/>
        <v>0</v>
      </c>
      <c r="O42" s="873"/>
      <c r="S42" s="873"/>
      <c r="U42" s="485"/>
    </row>
    <row r="43" spans="2:21" s="63" customFormat="1" ht="15" customHeight="1" x14ac:dyDescent="0.15">
      <c r="B43" s="476"/>
      <c r="C43" s="476"/>
      <c r="D43" s="484"/>
      <c r="E43" s="483"/>
      <c r="F43" s="892"/>
      <c r="G43" s="798"/>
      <c r="H43" s="378">
        <f t="shared" si="11"/>
        <v>0</v>
      </c>
      <c r="I43" s="463">
        <v>0</v>
      </c>
      <c r="J43" s="311">
        <f t="shared" si="12"/>
        <v>0</v>
      </c>
      <c r="K43" s="378">
        <f>J43*VLOOKUP($B$9,'Base Costs'!$A$32:$B$37,2,FALSE)</f>
        <v>0</v>
      </c>
      <c r="L43" s="379">
        <f t="shared" si="13"/>
        <v>0</v>
      </c>
      <c r="O43" s="873"/>
      <c r="S43" s="873"/>
    </row>
    <row r="44" spans="2:21" s="63" customFormat="1" ht="15" customHeight="1" x14ac:dyDescent="0.15">
      <c r="B44" s="476"/>
      <c r="C44" s="476"/>
      <c r="D44" s="484"/>
      <c r="E44" s="483"/>
      <c r="F44" s="876"/>
      <c r="G44" s="878"/>
      <c r="H44" s="378">
        <f t="shared" si="11"/>
        <v>0</v>
      </c>
      <c r="I44" s="463">
        <v>0</v>
      </c>
      <c r="J44" s="311">
        <f t="shared" si="12"/>
        <v>0</v>
      </c>
      <c r="K44" s="378">
        <f>J44*VLOOKUP($B$9,'Base Costs'!$A$32:$B$37,2,FALSE)</f>
        <v>0</v>
      </c>
      <c r="L44" s="379">
        <f t="shared" si="13"/>
        <v>0</v>
      </c>
      <c r="O44" s="873"/>
      <c r="S44" s="873"/>
    </row>
    <row r="45" spans="2:21" s="63" customFormat="1" ht="15" customHeight="1" x14ac:dyDescent="0.15">
      <c r="B45" s="476"/>
      <c r="C45" s="476"/>
      <c r="D45" s="486"/>
      <c r="E45" s="487"/>
      <c r="F45" s="875"/>
      <c r="G45" s="798"/>
      <c r="H45" s="378">
        <f t="shared" si="11"/>
        <v>0</v>
      </c>
      <c r="I45" s="463">
        <v>0.35</v>
      </c>
      <c r="J45" s="311">
        <f t="shared" si="12"/>
        <v>0</v>
      </c>
      <c r="K45" s="378">
        <f>J45*VLOOKUP($B$9,'Base Costs'!$A$32:$B$37,2,FALSE)</f>
        <v>0</v>
      </c>
      <c r="L45" s="379">
        <f t="shared" si="13"/>
        <v>0</v>
      </c>
      <c r="O45" s="873"/>
      <c r="S45" s="873"/>
    </row>
    <row r="46" spans="2:21" s="63" customFormat="1" ht="15" customHeight="1" x14ac:dyDescent="0.15">
      <c r="B46" s="476" t="s">
        <v>851</v>
      </c>
      <c r="C46" s="476"/>
      <c r="D46" s="482"/>
      <c r="E46" s="483"/>
      <c r="F46" s="876"/>
      <c r="G46" s="798">
        <v>110</v>
      </c>
      <c r="H46" s="488">
        <f t="shared" si="11"/>
        <v>0</v>
      </c>
      <c r="I46" s="463">
        <v>0.35</v>
      </c>
      <c r="J46" s="311">
        <f t="shared" si="12"/>
        <v>0</v>
      </c>
      <c r="K46" s="378">
        <f>J46*VLOOKUP($B$9,'Base Costs'!$A$32:$B$37,2,FALSE)</f>
        <v>0</v>
      </c>
      <c r="L46" s="379">
        <f t="shared" si="13"/>
        <v>0</v>
      </c>
      <c r="O46" s="873"/>
      <c r="S46" s="873"/>
    </row>
    <row r="47" spans="2:21" s="63" customFormat="1" ht="15" customHeight="1" x14ac:dyDescent="0.15">
      <c r="B47" s="799" t="s">
        <v>1004</v>
      </c>
      <c r="C47" s="476"/>
      <c r="D47" s="482"/>
      <c r="E47" s="483"/>
      <c r="F47" s="875"/>
      <c r="G47" s="798">
        <v>0</v>
      </c>
      <c r="H47" s="488">
        <f t="shared" si="11"/>
        <v>0</v>
      </c>
      <c r="I47" s="463">
        <v>0.35</v>
      </c>
      <c r="J47" s="311">
        <f t="shared" si="12"/>
        <v>0</v>
      </c>
      <c r="K47" s="378">
        <f>J47*VLOOKUP($B$9,'Base Costs'!$A$32:$B$37,2,FALSE)</f>
        <v>0</v>
      </c>
      <c r="L47" s="379">
        <f t="shared" si="13"/>
        <v>0</v>
      </c>
    </row>
    <row r="48" spans="2:21" s="63" customFormat="1" ht="15" customHeight="1" x14ac:dyDescent="0.2">
      <c r="B48" s="289" t="s">
        <v>1001</v>
      </c>
      <c r="C48" s="874" t="s">
        <v>1002</v>
      </c>
      <c r="D48" s="482"/>
      <c r="E48" s="483"/>
      <c r="F48" s="877"/>
      <c r="G48" s="798">
        <v>57</v>
      </c>
      <c r="H48" s="488">
        <f t="shared" si="11"/>
        <v>0</v>
      </c>
      <c r="I48" s="463">
        <v>0.35</v>
      </c>
      <c r="J48" s="311">
        <f t="shared" si="12"/>
        <v>0</v>
      </c>
      <c r="K48" s="378">
        <f>J48*VLOOKUP($B$9,'Base Costs'!$A$32:$B$37,2,FALSE)</f>
        <v>0</v>
      </c>
      <c r="L48" s="379">
        <f t="shared" si="13"/>
        <v>0</v>
      </c>
    </row>
    <row r="49" spans="2:13" s="63" customFormat="1" ht="15" customHeight="1" x14ac:dyDescent="0.2">
      <c r="B49" s="289" t="s">
        <v>1000</v>
      </c>
      <c r="C49" s="874" t="s">
        <v>1003</v>
      </c>
      <c r="D49" s="482"/>
      <c r="E49" s="483"/>
      <c r="F49" s="877"/>
      <c r="G49" s="798">
        <v>65</v>
      </c>
      <c r="H49" s="488">
        <f t="shared" si="11"/>
        <v>0</v>
      </c>
      <c r="I49" s="463">
        <v>0.35</v>
      </c>
      <c r="J49" s="311">
        <f t="shared" si="12"/>
        <v>0</v>
      </c>
      <c r="K49" s="378">
        <f>J49*VLOOKUP($B$9,'Base Costs'!$A$32:$B$37,2,FALSE)</f>
        <v>0</v>
      </c>
      <c r="L49" s="379">
        <f t="shared" si="13"/>
        <v>0</v>
      </c>
    </row>
    <row r="50" spans="2:13" s="63" customFormat="1" ht="15" customHeight="1" x14ac:dyDescent="0.15">
      <c r="B50" s="68"/>
      <c r="C50" s="68"/>
      <c r="D50" s="69"/>
      <c r="E50" s="70"/>
      <c r="F50" s="71"/>
      <c r="G50" s="367"/>
      <c r="H50" s="489"/>
      <c r="I50" s="56"/>
      <c r="J50" s="362"/>
      <c r="K50" s="489"/>
      <c r="L50" s="362"/>
    </row>
    <row r="51" spans="2:13" s="63" customFormat="1" ht="15" customHeight="1" x14ac:dyDescent="0.15">
      <c r="B51" s="85" t="s">
        <v>48</v>
      </c>
      <c r="C51" s="85"/>
      <c r="D51" s="86"/>
      <c r="E51" s="85"/>
      <c r="F51" s="85"/>
      <c r="G51" s="61"/>
      <c r="H51" s="154">
        <f>SUBTOTAL(9,H52:H61)</f>
        <v>1368</v>
      </c>
      <c r="I51" s="15">
        <f>IF(H51=0,"-",L51/J51)</f>
        <v>0.33</v>
      </c>
      <c r="J51" s="154">
        <f>SUBTOTAL(9,J52:J62)</f>
        <v>2041.7910447761196</v>
      </c>
      <c r="K51" s="466">
        <f>SUBTOTAL(9,K52:K61)</f>
        <v>2041.7910447761196</v>
      </c>
      <c r="L51" s="154">
        <f>SUBTOTAL(9,L52:L61)</f>
        <v>673.79104477611952</v>
      </c>
    </row>
    <row r="52" spans="2:13" s="63" customFormat="1" ht="15" customHeight="1" x14ac:dyDescent="0.15">
      <c r="B52" s="308" t="s">
        <v>10</v>
      </c>
      <c r="C52" s="95"/>
      <c r="D52" s="289" t="s">
        <v>45</v>
      </c>
      <c r="E52" s="1176" t="s">
        <v>757</v>
      </c>
      <c r="F52" s="1177"/>
      <c r="G52" s="380">
        <v>750</v>
      </c>
      <c r="H52" s="378">
        <f t="shared" ref="H52:H61" si="14">C52*G52</f>
        <v>0</v>
      </c>
      <c r="I52" s="490">
        <v>0.33</v>
      </c>
      <c r="J52" s="311">
        <f t="shared" ref="J52:J61" si="15">H52/(1-I52)*(1+$C$9)</f>
        <v>0</v>
      </c>
      <c r="K52" s="378">
        <f>J52*VLOOKUP($B$9,'Base Costs'!$A$32:$B$37,2,FALSE)</f>
        <v>0</v>
      </c>
      <c r="L52" s="379">
        <f t="shared" ref="L52:L59" si="16">J52-H52</f>
        <v>0</v>
      </c>
    </row>
    <row r="53" spans="2:13" s="63" customFormat="1" ht="15" customHeight="1" x14ac:dyDescent="0.15">
      <c r="B53" s="308" t="s">
        <v>36</v>
      </c>
      <c r="C53" s="95"/>
      <c r="D53" s="289" t="s">
        <v>184</v>
      </c>
      <c r="E53" s="73"/>
      <c r="F53" s="73"/>
      <c r="G53" s="380">
        <v>250</v>
      </c>
      <c r="H53" s="378">
        <f t="shared" si="14"/>
        <v>0</v>
      </c>
      <c r="I53" s="490">
        <v>0.33</v>
      </c>
      <c r="J53" s="311">
        <f t="shared" si="15"/>
        <v>0</v>
      </c>
      <c r="K53" s="378">
        <f>J53*VLOOKUP($B$9,'Base Costs'!$A$32:$B$37,2,FALSE)</f>
        <v>0</v>
      </c>
      <c r="L53" s="379">
        <f t="shared" si="16"/>
        <v>0</v>
      </c>
    </row>
    <row r="54" spans="2:13" s="63" customFormat="1" ht="15" customHeight="1" x14ac:dyDescent="0.15">
      <c r="B54" s="1019" t="s">
        <v>1363</v>
      </c>
      <c r="C54" s="1020">
        <v>1</v>
      </c>
      <c r="D54" s="1021" t="s">
        <v>1364</v>
      </c>
      <c r="E54" s="1022"/>
      <c r="F54" s="1022"/>
      <c r="G54" s="1001">
        <v>160</v>
      </c>
      <c r="H54" s="1002">
        <f t="shared" si="14"/>
        <v>160</v>
      </c>
      <c r="I54" s="1023">
        <v>0.33</v>
      </c>
      <c r="J54" s="1004">
        <f t="shared" si="15"/>
        <v>238.80597014925377</v>
      </c>
      <c r="K54" s="1002">
        <f>J54*VLOOKUP($B$9,'Base Costs'!$A$32:$B$37,2,FALSE)</f>
        <v>238.80597014925377</v>
      </c>
      <c r="L54" s="1005">
        <f t="shared" si="16"/>
        <v>78.805970149253767</v>
      </c>
      <c r="M54" s="1030" t="s">
        <v>1360</v>
      </c>
    </row>
    <row r="55" spans="2:13" s="63" customFormat="1" ht="15" customHeight="1" x14ac:dyDescent="0.15">
      <c r="B55" s="28" t="s">
        <v>135</v>
      </c>
      <c r="C55" s="95"/>
      <c r="D55" s="28" t="s">
        <v>357</v>
      </c>
      <c r="E55" s="73"/>
      <c r="F55" s="73"/>
      <c r="G55" s="380">
        <v>610</v>
      </c>
      <c r="H55" s="378">
        <f t="shared" si="14"/>
        <v>0</v>
      </c>
      <c r="I55" s="490">
        <v>0.4</v>
      </c>
      <c r="J55" s="311">
        <f t="shared" si="15"/>
        <v>0</v>
      </c>
      <c r="K55" s="378">
        <f>J55*VLOOKUP($B$9,'Base Costs'!$A$32:$B$37,2,FALSE)</f>
        <v>0</v>
      </c>
      <c r="L55" s="379">
        <f t="shared" si="16"/>
        <v>0</v>
      </c>
    </row>
    <row r="56" spans="2:13" s="63" customFormat="1" ht="15" customHeight="1" x14ac:dyDescent="0.15">
      <c r="B56" s="28" t="s">
        <v>136</v>
      </c>
      <c r="C56" s="95"/>
      <c r="D56" s="28" t="s">
        <v>357</v>
      </c>
      <c r="E56" s="73"/>
      <c r="F56" s="73"/>
      <c r="G56" s="380">
        <v>1220</v>
      </c>
      <c r="H56" s="378">
        <f t="shared" si="14"/>
        <v>0</v>
      </c>
      <c r="I56" s="490">
        <v>0.4</v>
      </c>
      <c r="J56" s="311">
        <f t="shared" si="15"/>
        <v>0</v>
      </c>
      <c r="K56" s="378">
        <f>J56*VLOOKUP($B$9,'Base Costs'!$A$32:$B$37,2,FALSE)</f>
        <v>0</v>
      </c>
      <c r="L56" s="379">
        <f t="shared" si="16"/>
        <v>0</v>
      </c>
    </row>
    <row r="57" spans="2:13" s="63" customFormat="1" ht="15" customHeight="1" x14ac:dyDescent="0.15">
      <c r="B57" s="28" t="s">
        <v>134</v>
      </c>
      <c r="C57" s="95"/>
      <c r="D57" s="28" t="s">
        <v>139</v>
      </c>
      <c r="E57" s="73"/>
      <c r="F57" s="73"/>
      <c r="G57" s="380">
        <v>220</v>
      </c>
      <c r="H57" s="378">
        <f t="shared" si="14"/>
        <v>0</v>
      </c>
      <c r="I57" s="490">
        <v>0.33</v>
      </c>
      <c r="J57" s="311">
        <f t="shared" si="15"/>
        <v>0</v>
      </c>
      <c r="K57" s="378">
        <f>J57*VLOOKUP($B$9,'Base Costs'!$A$32:$B$37,2,FALSE)</f>
        <v>0</v>
      </c>
      <c r="L57" s="379">
        <f t="shared" si="16"/>
        <v>0</v>
      </c>
    </row>
    <row r="58" spans="2:13" s="63" customFormat="1" ht="15" customHeight="1" x14ac:dyDescent="0.15">
      <c r="B58" s="308" t="s">
        <v>539</v>
      </c>
      <c r="C58" s="95"/>
      <c r="D58" s="28" t="s">
        <v>139</v>
      </c>
      <c r="E58" s="73"/>
      <c r="F58" s="73"/>
      <c r="G58" s="380">
        <v>150</v>
      </c>
      <c r="H58" s="378">
        <f t="shared" si="14"/>
        <v>0</v>
      </c>
      <c r="I58" s="490">
        <v>0.33</v>
      </c>
      <c r="J58" s="311">
        <f t="shared" si="15"/>
        <v>0</v>
      </c>
      <c r="K58" s="378">
        <f>J58*VLOOKUP($B$9,'Base Costs'!$A$32:$B$37,2,FALSE)</f>
        <v>0</v>
      </c>
      <c r="L58" s="379">
        <f t="shared" si="16"/>
        <v>0</v>
      </c>
    </row>
    <row r="59" spans="2:13" s="63" customFormat="1" ht="15" customHeight="1" x14ac:dyDescent="0.15">
      <c r="B59" s="308" t="s">
        <v>13</v>
      </c>
      <c r="C59" s="95"/>
      <c r="D59" s="28" t="s">
        <v>540</v>
      </c>
      <c r="E59" s="73"/>
      <c r="F59" s="73"/>
      <c r="G59" s="380">
        <v>80</v>
      </c>
      <c r="H59" s="378">
        <f t="shared" si="14"/>
        <v>0</v>
      </c>
      <c r="I59" s="490">
        <v>0.33</v>
      </c>
      <c r="J59" s="311">
        <f t="shared" si="15"/>
        <v>0</v>
      </c>
      <c r="K59" s="378">
        <f>J59*VLOOKUP($B$9,'Base Costs'!$A$32:$B$37,2,FALSE)</f>
        <v>0</v>
      </c>
      <c r="L59" s="379">
        <f t="shared" si="16"/>
        <v>0</v>
      </c>
    </row>
    <row r="60" spans="2:13" s="63" customFormat="1" ht="15" customHeight="1" x14ac:dyDescent="0.15">
      <c r="B60" s="308" t="s">
        <v>1310</v>
      </c>
      <c r="C60" s="95">
        <v>2</v>
      </c>
      <c r="D60" s="1113" t="s">
        <v>1449</v>
      </c>
      <c r="E60" s="1174"/>
      <c r="F60" s="1174"/>
      <c r="G60" s="380">
        <v>604</v>
      </c>
      <c r="H60" s="378">
        <f t="shared" si="14"/>
        <v>1208</v>
      </c>
      <c r="I60" s="490">
        <v>0.33</v>
      </c>
      <c r="J60" s="311">
        <f t="shared" si="15"/>
        <v>1802.9850746268658</v>
      </c>
      <c r="K60" s="378">
        <f>J60*VLOOKUP($B$9,'Base Costs'!$A$32:$B$37,2,FALSE)</f>
        <v>1802.9850746268658</v>
      </c>
      <c r="L60" s="379">
        <f>J60-H60</f>
        <v>594.98507462686575</v>
      </c>
      <c r="M60" s="1030" t="s">
        <v>1360</v>
      </c>
    </row>
    <row r="61" spans="2:13" s="63" customFormat="1" ht="15" customHeight="1" x14ac:dyDescent="0.15">
      <c r="B61" s="28" t="s">
        <v>1007</v>
      </c>
      <c r="C61" s="250"/>
      <c r="D61" s="1107" t="s">
        <v>1008</v>
      </c>
      <c r="E61" s="1175"/>
      <c r="F61" s="1175"/>
      <c r="G61" s="380">
        <v>603</v>
      </c>
      <c r="H61" s="378">
        <f t="shared" si="14"/>
        <v>0</v>
      </c>
      <c r="I61" s="490">
        <v>0.33</v>
      </c>
      <c r="J61" s="311">
        <f t="shared" si="15"/>
        <v>0</v>
      </c>
      <c r="K61" s="378">
        <f>J61*VLOOKUP($B$9,'Base Costs'!$A$32:$B$37,2,FALSE)</f>
        <v>0</v>
      </c>
      <c r="L61" s="379">
        <f>J61-H61</f>
        <v>0</v>
      </c>
    </row>
    <row r="62" spans="2:13" s="63" customFormat="1" ht="15" customHeight="1" x14ac:dyDescent="0.15">
      <c r="B62" s="55"/>
      <c r="C62" s="74"/>
      <c r="D62" s="56"/>
      <c r="E62" s="55"/>
      <c r="F62" s="55"/>
      <c r="G62" s="362"/>
      <c r="H62" s="362"/>
      <c r="I62" s="56"/>
      <c r="J62" s="362"/>
      <c r="K62" s="362"/>
      <c r="L62" s="362"/>
    </row>
    <row r="63" spans="2:13" s="63" customFormat="1" ht="15" customHeight="1" x14ac:dyDescent="0.2">
      <c r="B63" s="197" t="s">
        <v>121</v>
      </c>
      <c r="C63" s="198"/>
      <c r="D63" s="199"/>
      <c r="E63" s="199"/>
      <c r="F63" s="198"/>
      <c r="G63" s="200"/>
      <c r="H63" s="198"/>
      <c r="I63" s="198"/>
      <c r="J63" s="198"/>
      <c r="K63" s="198"/>
      <c r="L63" s="198"/>
    </row>
    <row r="64" spans="2:13" s="63" customFormat="1" ht="15" customHeight="1" x14ac:dyDescent="0.2">
      <c r="B64" s="202"/>
      <c r="C64" s="203"/>
      <c r="D64" s="202"/>
      <c r="E64" s="204"/>
      <c r="F64" s="202"/>
      <c r="G64" s="209"/>
      <c r="H64" s="203"/>
      <c r="I64" s="203"/>
      <c r="J64" s="203"/>
      <c r="K64" s="205"/>
      <c r="L64" s="205"/>
    </row>
    <row r="65" spans="2:12" s="63" customFormat="1" ht="15" customHeight="1" x14ac:dyDescent="0.2">
      <c r="B65" s="202"/>
      <c r="C65" s="203"/>
      <c r="D65" s="202"/>
      <c r="E65" s="204"/>
      <c r="F65" s="202"/>
      <c r="G65" s="209"/>
      <c r="H65" s="203"/>
      <c r="I65" s="203"/>
      <c r="J65" s="203"/>
      <c r="K65" s="205"/>
      <c r="L65" s="205"/>
    </row>
    <row r="66" spans="2:12" s="63" customFormat="1" ht="15" customHeight="1" x14ac:dyDescent="0.2">
      <c r="B66" s="202"/>
      <c r="C66" s="203"/>
      <c r="D66" s="202"/>
      <c r="E66" s="204"/>
      <c r="F66" s="202"/>
      <c r="G66" s="209"/>
      <c r="H66" s="203"/>
      <c r="I66" s="203"/>
      <c r="J66" s="203"/>
      <c r="K66" s="209"/>
      <c r="L66" s="209"/>
    </row>
    <row r="67" spans="2:12" s="63" customFormat="1" ht="15" customHeight="1" x14ac:dyDescent="0.2">
      <c r="B67" s="202"/>
      <c r="C67" s="203"/>
      <c r="D67" s="202"/>
      <c r="E67" s="204"/>
      <c r="F67" s="202"/>
      <c r="G67" s="209"/>
      <c r="H67" s="206"/>
      <c r="I67" s="203"/>
      <c r="J67" s="203"/>
      <c r="K67" s="209"/>
      <c r="L67" s="209"/>
    </row>
    <row r="68" spans="2:12" s="63" customFormat="1" ht="15" customHeight="1" x14ac:dyDescent="0.2">
      <c r="B68" s="202"/>
      <c r="C68" s="203"/>
      <c r="D68" s="202"/>
      <c r="E68" s="202"/>
      <c r="F68" s="202"/>
      <c r="G68" s="207"/>
      <c r="H68" s="209"/>
      <c r="I68" s="203"/>
      <c r="J68" s="203"/>
      <c r="K68" s="205"/>
      <c r="L68" s="205"/>
    </row>
    <row r="69" spans="2:12" s="63" customFormat="1" ht="15" customHeight="1" x14ac:dyDescent="0.2">
      <c r="B69" s="202"/>
      <c r="C69" s="202"/>
      <c r="D69" s="202"/>
      <c r="E69" s="202"/>
      <c r="F69" s="202"/>
      <c r="G69" s="207"/>
      <c r="H69" s="209"/>
      <c r="I69" s="203"/>
      <c r="J69" s="203"/>
      <c r="K69" s="205"/>
      <c r="L69" s="205"/>
    </row>
    <row r="70" spans="2:12" s="63" customFormat="1" ht="15" customHeight="1" x14ac:dyDescent="0.15">
      <c r="B70" s="55"/>
      <c r="C70" s="74"/>
      <c r="D70" s="56"/>
      <c r="E70" s="55"/>
      <c r="F70" s="55"/>
      <c r="G70" s="362"/>
      <c r="H70" s="362"/>
      <c r="I70" s="56"/>
      <c r="J70" s="362"/>
      <c r="K70" s="362"/>
      <c r="L70" s="362"/>
    </row>
    <row r="71" spans="2:12" s="63" customFormat="1" ht="15" customHeight="1" x14ac:dyDescent="0.15">
      <c r="B71" s="75"/>
      <c r="C71" s="75"/>
      <c r="D71" s="56"/>
      <c r="E71" s="55"/>
      <c r="F71" s="55"/>
      <c r="G71" s="362"/>
      <c r="H71" s="362"/>
      <c r="I71" s="56"/>
      <c r="J71" s="362"/>
      <c r="K71" s="362"/>
      <c r="L71" s="362"/>
    </row>
    <row r="72" spans="2:12" s="63" customFormat="1" ht="15" customHeight="1" x14ac:dyDescent="0.15">
      <c r="B72" s="55"/>
      <c r="C72" s="55"/>
      <c r="D72" s="56"/>
      <c r="E72" s="55"/>
      <c r="F72" s="55"/>
      <c r="G72" s="362"/>
      <c r="H72" s="362"/>
      <c r="I72" s="56"/>
      <c r="J72" s="362"/>
      <c r="K72" s="362"/>
      <c r="L72" s="362"/>
    </row>
    <row r="73" spans="2:12" s="63" customFormat="1" ht="15" customHeight="1" x14ac:dyDescent="0.15">
      <c r="B73" s="55"/>
      <c r="C73" s="55"/>
      <c r="D73" s="56"/>
      <c r="E73" s="55"/>
      <c r="F73" s="55"/>
      <c r="G73" s="362"/>
      <c r="H73" s="362"/>
      <c r="I73" s="56"/>
      <c r="J73" s="362"/>
      <c r="K73" s="362"/>
      <c r="L73" s="362"/>
    </row>
    <row r="74" spans="2:12" s="63" customFormat="1" ht="15" customHeight="1" x14ac:dyDescent="0.15">
      <c r="B74" s="55"/>
      <c r="C74" s="55"/>
      <c r="D74" s="56"/>
      <c r="E74" s="55"/>
      <c r="F74" s="55"/>
      <c r="G74" s="362"/>
      <c r="H74" s="362"/>
      <c r="I74" s="56"/>
      <c r="J74" s="362"/>
      <c r="K74" s="362"/>
      <c r="L74" s="362"/>
    </row>
    <row r="75" spans="2:12" s="63" customFormat="1" ht="15" customHeight="1" x14ac:dyDescent="0.15">
      <c r="B75" s="55"/>
      <c r="C75" s="55"/>
      <c r="D75" s="56"/>
      <c r="E75" s="55"/>
      <c r="F75" s="55"/>
      <c r="G75" s="362"/>
      <c r="H75" s="362"/>
      <c r="I75" s="56"/>
      <c r="J75" s="362"/>
      <c r="K75" s="362"/>
      <c r="L75" s="362"/>
    </row>
    <row r="76" spans="2:12" s="63" customFormat="1" ht="15" customHeight="1" x14ac:dyDescent="0.15">
      <c r="B76" s="55"/>
      <c r="C76" s="55"/>
      <c r="D76" s="56"/>
      <c r="E76" s="55"/>
      <c r="F76" s="55"/>
      <c r="G76" s="362"/>
      <c r="H76" s="362"/>
      <c r="I76" s="56"/>
      <c r="J76" s="362"/>
      <c r="K76" s="362"/>
      <c r="L76" s="362"/>
    </row>
    <row r="77" spans="2:12" s="63" customFormat="1" ht="15" customHeight="1" x14ac:dyDescent="0.15">
      <c r="B77" s="55"/>
      <c r="C77" s="55"/>
      <c r="D77" s="56"/>
      <c r="E77" s="55"/>
      <c r="F77" s="55"/>
      <c r="G77" s="362"/>
      <c r="H77" s="362"/>
      <c r="I77" s="56"/>
      <c r="J77" s="362"/>
      <c r="K77" s="362"/>
      <c r="L77" s="362"/>
    </row>
    <row r="78" spans="2:12" s="63" customFormat="1" ht="15" customHeight="1" x14ac:dyDescent="0.15">
      <c r="B78" s="55"/>
      <c r="C78" s="55"/>
      <c r="D78" s="56"/>
      <c r="E78" s="55"/>
      <c r="F78" s="55"/>
      <c r="G78" s="362"/>
      <c r="H78" s="362"/>
      <c r="I78" s="56"/>
      <c r="J78" s="362"/>
      <c r="K78" s="362"/>
      <c r="L78" s="362"/>
    </row>
    <row r="79" spans="2:12" s="63" customFormat="1" ht="15" customHeight="1" x14ac:dyDescent="0.15">
      <c r="B79" s="55"/>
      <c r="C79" s="55"/>
      <c r="D79" s="56"/>
      <c r="E79" s="55"/>
      <c r="F79" s="55"/>
      <c r="G79" s="362"/>
      <c r="H79" s="362"/>
      <c r="I79" s="56"/>
      <c r="J79" s="362"/>
      <c r="K79" s="362"/>
      <c r="L79" s="362"/>
    </row>
    <row r="80" spans="2:12" s="63" customFormat="1" ht="15" customHeight="1" x14ac:dyDescent="0.15">
      <c r="B80" s="55"/>
      <c r="C80" s="55"/>
      <c r="D80" s="56"/>
      <c r="E80" s="55"/>
      <c r="F80" s="55"/>
      <c r="G80" s="362"/>
      <c r="H80" s="362"/>
      <c r="I80" s="56"/>
      <c r="J80" s="362"/>
      <c r="K80" s="362"/>
      <c r="L80" s="362"/>
    </row>
    <row r="81" spans="2:12" s="63" customFormat="1" ht="15" customHeight="1" x14ac:dyDescent="0.15">
      <c r="B81" s="55"/>
      <c r="C81" s="55"/>
      <c r="D81" s="56"/>
      <c r="E81" s="55"/>
      <c r="F81" s="55"/>
      <c r="G81" s="362"/>
      <c r="H81" s="362"/>
      <c r="I81" s="56"/>
      <c r="J81" s="362"/>
      <c r="K81" s="362"/>
      <c r="L81" s="362"/>
    </row>
    <row r="82" spans="2:12" s="63" customFormat="1" ht="15" customHeight="1" x14ac:dyDescent="0.15">
      <c r="B82" s="55"/>
      <c r="C82" s="55"/>
      <c r="D82" s="56"/>
      <c r="E82" s="55"/>
      <c r="F82" s="55"/>
      <c r="G82" s="362"/>
      <c r="H82" s="362"/>
      <c r="I82" s="56"/>
      <c r="J82" s="362"/>
      <c r="K82" s="362"/>
      <c r="L82" s="362"/>
    </row>
    <row r="83" spans="2:12" s="63" customFormat="1" ht="15" customHeight="1" x14ac:dyDescent="0.15">
      <c r="B83" s="55"/>
      <c r="C83" s="55"/>
      <c r="D83" s="56"/>
      <c r="E83" s="55"/>
      <c r="F83" s="55"/>
      <c r="G83" s="362"/>
      <c r="H83" s="362"/>
      <c r="I83" s="56"/>
      <c r="J83" s="362"/>
      <c r="K83" s="362"/>
      <c r="L83" s="362"/>
    </row>
    <row r="84" spans="2:12" s="63" customFormat="1" ht="15" customHeight="1" x14ac:dyDescent="0.15">
      <c r="B84" s="55"/>
      <c r="C84" s="55"/>
      <c r="D84" s="56"/>
      <c r="E84" s="55"/>
      <c r="F84" s="55"/>
      <c r="G84" s="362"/>
      <c r="H84" s="362"/>
      <c r="I84" s="56"/>
      <c r="J84" s="362"/>
      <c r="K84" s="362"/>
      <c r="L84" s="362"/>
    </row>
    <row r="85" spans="2:12" s="63" customFormat="1" ht="15" customHeight="1" x14ac:dyDescent="0.15">
      <c r="B85" s="55"/>
      <c r="C85" s="55"/>
      <c r="D85" s="56"/>
      <c r="E85" s="55"/>
      <c r="F85" s="55"/>
      <c r="G85" s="362"/>
      <c r="H85" s="362"/>
      <c r="I85" s="56"/>
      <c r="J85" s="362"/>
      <c r="K85" s="362"/>
      <c r="L85" s="362"/>
    </row>
    <row r="86" spans="2:12" s="63" customFormat="1" ht="15" customHeight="1" x14ac:dyDescent="0.15">
      <c r="B86" s="55"/>
      <c r="C86" s="55"/>
      <c r="D86" s="56"/>
      <c r="E86" s="55"/>
      <c r="F86" s="55"/>
      <c r="G86" s="362"/>
      <c r="H86" s="362"/>
      <c r="I86" s="56"/>
      <c r="J86" s="362"/>
      <c r="K86" s="362"/>
      <c r="L86" s="362"/>
    </row>
    <row r="87" spans="2:12" s="63" customFormat="1" ht="15" customHeight="1" x14ac:dyDescent="0.15">
      <c r="B87" s="55"/>
      <c r="C87" s="55"/>
      <c r="D87" s="56"/>
      <c r="E87" s="55"/>
      <c r="F87" s="55"/>
      <c r="G87" s="362"/>
      <c r="H87" s="362"/>
      <c r="I87" s="56"/>
      <c r="J87" s="362"/>
      <c r="K87" s="362"/>
      <c r="L87" s="362"/>
    </row>
    <row r="88" spans="2:12" s="63" customFormat="1" ht="15" customHeight="1" x14ac:dyDescent="0.15">
      <c r="B88" s="55"/>
      <c r="C88" s="55"/>
      <c r="D88" s="56"/>
      <c r="E88" s="55"/>
      <c r="F88" s="55"/>
      <c r="G88" s="362"/>
      <c r="H88" s="362"/>
      <c r="I88" s="56"/>
      <c r="J88" s="362"/>
      <c r="K88" s="362"/>
      <c r="L88" s="362"/>
    </row>
    <row r="89" spans="2:12" s="63" customFormat="1" ht="15" customHeight="1" x14ac:dyDescent="0.15">
      <c r="B89" s="55"/>
      <c r="C89" s="55"/>
      <c r="D89" s="56"/>
      <c r="E89" s="55"/>
      <c r="F89" s="55"/>
      <c r="G89" s="362"/>
      <c r="H89" s="362"/>
      <c r="I89" s="56"/>
      <c r="J89" s="362"/>
      <c r="K89" s="362"/>
      <c r="L89" s="362"/>
    </row>
    <row r="90" spans="2:12" s="63" customFormat="1" ht="15" customHeight="1" x14ac:dyDescent="0.15">
      <c r="B90" s="55"/>
      <c r="C90" s="55"/>
      <c r="D90" s="56"/>
      <c r="E90" s="55"/>
      <c r="F90" s="55"/>
      <c r="G90" s="362"/>
      <c r="H90" s="362"/>
      <c r="I90" s="56"/>
      <c r="J90" s="362"/>
      <c r="K90" s="362"/>
      <c r="L90" s="362"/>
    </row>
    <row r="91" spans="2:12" s="63" customFormat="1" ht="15" customHeight="1" x14ac:dyDescent="0.15">
      <c r="B91" s="55"/>
      <c r="C91" s="55"/>
      <c r="D91" s="56"/>
      <c r="E91" s="55"/>
      <c r="F91" s="55"/>
      <c r="G91" s="362"/>
      <c r="H91" s="362"/>
      <c r="I91" s="56"/>
      <c r="J91" s="362"/>
      <c r="K91" s="362"/>
      <c r="L91" s="362"/>
    </row>
    <row r="92" spans="2:12" s="63" customFormat="1" ht="15" customHeight="1" x14ac:dyDescent="0.15">
      <c r="B92" s="55"/>
      <c r="C92" s="55"/>
      <c r="D92" s="56"/>
      <c r="E92" s="55"/>
      <c r="F92" s="55"/>
      <c r="G92" s="362"/>
      <c r="H92" s="362"/>
      <c r="I92" s="56"/>
      <c r="J92" s="362"/>
      <c r="K92" s="362"/>
      <c r="L92" s="362"/>
    </row>
    <row r="93" spans="2:12" s="63" customFormat="1" ht="15" customHeight="1" x14ac:dyDescent="0.15">
      <c r="B93" s="55"/>
      <c r="C93" s="55"/>
      <c r="D93" s="56"/>
      <c r="E93" s="55"/>
      <c r="F93" s="55"/>
      <c r="G93" s="362"/>
      <c r="H93" s="362"/>
      <c r="I93" s="56"/>
      <c r="J93" s="362"/>
      <c r="K93" s="362"/>
      <c r="L93" s="362"/>
    </row>
    <row r="94" spans="2:12" s="63" customFormat="1" ht="15" customHeight="1" x14ac:dyDescent="0.15">
      <c r="B94" s="55"/>
      <c r="C94" s="55"/>
      <c r="D94" s="56"/>
      <c r="E94" s="55"/>
      <c r="F94" s="55"/>
      <c r="G94" s="362"/>
      <c r="H94" s="362"/>
      <c r="I94" s="56"/>
      <c r="J94" s="362"/>
      <c r="K94" s="362"/>
      <c r="L94" s="362"/>
    </row>
    <row r="95" spans="2:12" s="63" customFormat="1" ht="15" customHeight="1" x14ac:dyDescent="0.15">
      <c r="B95" s="55"/>
      <c r="C95" s="55"/>
      <c r="D95" s="56"/>
      <c r="E95" s="55"/>
      <c r="F95" s="55"/>
      <c r="G95" s="362"/>
      <c r="H95" s="362"/>
      <c r="I95" s="56"/>
      <c r="J95" s="362"/>
      <c r="K95" s="362"/>
      <c r="L95" s="362"/>
    </row>
    <row r="96" spans="2:12" s="63" customFormat="1" ht="15" customHeight="1" x14ac:dyDescent="0.15">
      <c r="B96" s="55"/>
      <c r="C96" s="55"/>
      <c r="D96" s="56"/>
      <c r="E96" s="55"/>
      <c r="F96" s="55"/>
      <c r="G96" s="362"/>
      <c r="H96" s="362"/>
      <c r="I96" s="56"/>
      <c r="J96" s="362"/>
      <c r="K96" s="362"/>
      <c r="L96" s="362"/>
    </row>
    <row r="97" spans="2:12" s="63" customFormat="1" ht="15" customHeight="1" x14ac:dyDescent="0.15">
      <c r="B97" s="55"/>
      <c r="C97" s="55"/>
      <c r="D97" s="56"/>
      <c r="E97" s="55"/>
      <c r="F97" s="55"/>
      <c r="G97" s="362"/>
      <c r="H97" s="362"/>
      <c r="I97" s="56"/>
      <c r="J97" s="362"/>
      <c r="K97" s="362"/>
      <c r="L97" s="362"/>
    </row>
    <row r="98" spans="2:12" s="63" customFormat="1" ht="15" customHeight="1" x14ac:dyDescent="0.15">
      <c r="B98" s="55"/>
      <c r="C98" s="55"/>
      <c r="D98" s="56"/>
      <c r="E98" s="55"/>
      <c r="F98" s="55"/>
      <c r="G98" s="362"/>
      <c r="H98" s="362"/>
      <c r="I98" s="56"/>
      <c r="J98" s="362"/>
      <c r="K98" s="362"/>
      <c r="L98" s="362"/>
    </row>
    <row r="99" spans="2:12" s="63" customFormat="1" ht="15" customHeight="1" x14ac:dyDescent="0.15">
      <c r="B99" s="55"/>
      <c r="C99" s="55"/>
      <c r="D99" s="56"/>
      <c r="E99" s="55"/>
      <c r="F99" s="55"/>
      <c r="G99" s="362"/>
      <c r="H99" s="362"/>
      <c r="I99" s="56"/>
      <c r="J99" s="362"/>
      <c r="K99" s="362"/>
      <c r="L99" s="362"/>
    </row>
    <row r="100" spans="2:12" s="63" customFormat="1" ht="15" customHeight="1" x14ac:dyDescent="0.15">
      <c r="B100" s="55"/>
      <c r="C100" s="55"/>
      <c r="D100" s="56"/>
      <c r="E100" s="55"/>
      <c r="F100" s="55"/>
      <c r="G100" s="362"/>
      <c r="H100" s="362"/>
      <c r="I100" s="56"/>
      <c r="J100" s="362"/>
      <c r="K100" s="362"/>
      <c r="L100" s="362"/>
    </row>
    <row r="101" spans="2:12" s="63" customFormat="1" ht="15" customHeight="1" x14ac:dyDescent="0.15">
      <c r="B101" s="55"/>
      <c r="C101" s="55"/>
      <c r="D101" s="56"/>
      <c r="E101" s="55"/>
      <c r="F101" s="55"/>
      <c r="G101" s="362"/>
      <c r="H101" s="362"/>
      <c r="I101" s="56"/>
      <c r="J101" s="362"/>
      <c r="K101" s="362"/>
      <c r="L101" s="362"/>
    </row>
    <row r="102" spans="2:12" s="63" customFormat="1" ht="15" customHeight="1" x14ac:dyDescent="0.15">
      <c r="B102" s="55"/>
      <c r="C102" s="55"/>
      <c r="D102" s="56"/>
      <c r="E102" s="55"/>
      <c r="F102" s="55"/>
      <c r="G102" s="362"/>
      <c r="H102" s="362"/>
      <c r="I102" s="56"/>
      <c r="J102" s="362"/>
      <c r="K102" s="362"/>
      <c r="L102" s="362"/>
    </row>
    <row r="103" spans="2:12" s="63" customFormat="1" ht="15" customHeight="1" x14ac:dyDescent="0.15">
      <c r="B103" s="55"/>
      <c r="C103" s="55"/>
      <c r="D103" s="56"/>
      <c r="E103" s="55"/>
      <c r="F103" s="55"/>
      <c r="G103" s="362"/>
      <c r="H103" s="362"/>
      <c r="I103" s="56"/>
      <c r="J103" s="362"/>
      <c r="K103" s="362"/>
      <c r="L103" s="362"/>
    </row>
    <row r="104" spans="2:12" s="63" customFormat="1" ht="15" customHeight="1" x14ac:dyDescent="0.15">
      <c r="B104" s="55"/>
      <c r="C104" s="55"/>
      <c r="D104" s="56"/>
      <c r="E104" s="55"/>
      <c r="F104" s="55"/>
      <c r="G104" s="362"/>
      <c r="H104" s="362"/>
      <c r="I104" s="56"/>
      <c r="J104" s="362"/>
      <c r="K104" s="362"/>
      <c r="L104" s="362"/>
    </row>
    <row r="105" spans="2:12" s="63" customFormat="1" ht="15" customHeight="1" x14ac:dyDescent="0.15">
      <c r="B105" s="55"/>
      <c r="C105" s="55"/>
      <c r="D105" s="56"/>
      <c r="E105" s="55"/>
      <c r="F105" s="55"/>
      <c r="G105" s="362"/>
      <c r="H105" s="362"/>
      <c r="I105" s="56"/>
      <c r="J105" s="362"/>
      <c r="K105" s="362"/>
      <c r="L105" s="362"/>
    </row>
    <row r="106" spans="2:12" s="63" customFormat="1" ht="15" customHeight="1" x14ac:dyDescent="0.15">
      <c r="B106" s="55"/>
      <c r="C106" s="55"/>
      <c r="D106" s="56"/>
      <c r="E106" s="55"/>
      <c r="F106" s="55"/>
      <c r="G106" s="362"/>
      <c r="H106" s="362"/>
      <c r="I106" s="56"/>
      <c r="J106" s="362"/>
      <c r="K106" s="362"/>
      <c r="L106" s="362"/>
    </row>
    <row r="107" spans="2:12" s="63" customFormat="1" ht="15" customHeight="1" x14ac:dyDescent="0.15">
      <c r="B107" s="55"/>
      <c r="C107" s="55"/>
      <c r="D107" s="56"/>
      <c r="E107" s="55"/>
      <c r="F107" s="55"/>
      <c r="G107" s="362"/>
      <c r="H107" s="362"/>
      <c r="I107" s="56"/>
      <c r="J107" s="362"/>
      <c r="K107" s="362"/>
      <c r="L107" s="362"/>
    </row>
    <row r="108" spans="2:12" s="63" customFormat="1" ht="15" customHeight="1" x14ac:dyDescent="0.15">
      <c r="B108" s="55"/>
      <c r="C108" s="55"/>
      <c r="D108" s="56"/>
      <c r="E108" s="55"/>
      <c r="F108" s="55"/>
      <c r="G108" s="362"/>
      <c r="H108" s="362"/>
      <c r="I108" s="56"/>
      <c r="J108" s="362"/>
      <c r="K108" s="362"/>
      <c r="L108" s="362"/>
    </row>
    <row r="109" spans="2:12" s="63" customFormat="1" ht="15" customHeight="1" x14ac:dyDescent="0.15">
      <c r="B109" s="55"/>
      <c r="C109" s="55"/>
      <c r="D109" s="56"/>
      <c r="E109" s="55"/>
      <c r="F109" s="55"/>
      <c r="G109" s="362"/>
      <c r="H109" s="362"/>
      <c r="I109" s="56"/>
      <c r="J109" s="362"/>
      <c r="K109" s="362"/>
      <c r="L109" s="362"/>
    </row>
    <row r="110" spans="2:12" s="63" customFormat="1" ht="15" customHeight="1" x14ac:dyDescent="0.15">
      <c r="B110" s="55"/>
      <c r="C110" s="55"/>
      <c r="D110" s="56"/>
      <c r="E110" s="55"/>
      <c r="F110" s="55"/>
      <c r="G110" s="362"/>
      <c r="H110" s="362"/>
      <c r="I110" s="56"/>
      <c r="J110" s="362"/>
      <c r="K110" s="362"/>
      <c r="L110" s="362"/>
    </row>
    <row r="111" spans="2:12" s="63" customFormat="1" ht="15" customHeight="1" x14ac:dyDescent="0.15">
      <c r="B111" s="55"/>
      <c r="C111" s="55"/>
      <c r="D111" s="56"/>
      <c r="E111" s="55"/>
      <c r="F111" s="55"/>
      <c r="G111" s="362"/>
      <c r="H111" s="362"/>
      <c r="I111" s="56"/>
      <c r="J111" s="362"/>
      <c r="K111" s="362"/>
      <c r="L111" s="362"/>
    </row>
    <row r="112" spans="2:12" s="63" customFormat="1" ht="15" customHeight="1" x14ac:dyDescent="0.15">
      <c r="B112" s="55"/>
      <c r="C112" s="55"/>
      <c r="D112" s="56"/>
      <c r="E112" s="55"/>
      <c r="F112" s="55"/>
      <c r="G112" s="362"/>
      <c r="H112" s="362"/>
      <c r="I112" s="56"/>
      <c r="J112" s="362"/>
      <c r="K112" s="362"/>
      <c r="L112" s="362"/>
    </row>
    <row r="113" spans="2:12" s="63" customFormat="1" ht="15" customHeight="1" x14ac:dyDescent="0.15">
      <c r="B113" s="55"/>
      <c r="C113" s="55"/>
      <c r="D113" s="56"/>
      <c r="E113" s="55"/>
      <c r="F113" s="55"/>
      <c r="G113" s="362"/>
      <c r="H113" s="362"/>
      <c r="I113" s="56"/>
      <c r="J113" s="362"/>
      <c r="K113" s="362"/>
      <c r="L113" s="362"/>
    </row>
    <row r="114" spans="2:12" s="63" customFormat="1" ht="15" customHeight="1" x14ac:dyDescent="0.15">
      <c r="B114" s="55"/>
      <c r="C114" s="55"/>
      <c r="D114" s="56"/>
      <c r="E114" s="55"/>
      <c r="F114" s="55"/>
      <c r="G114" s="362"/>
      <c r="H114" s="362"/>
      <c r="I114" s="56"/>
      <c r="J114" s="362"/>
      <c r="K114" s="362"/>
      <c r="L114" s="362"/>
    </row>
    <row r="115" spans="2:12" s="63" customFormat="1" ht="15" customHeight="1" x14ac:dyDescent="0.15">
      <c r="B115" s="55"/>
      <c r="C115" s="55"/>
      <c r="D115" s="56"/>
      <c r="E115" s="55"/>
      <c r="F115" s="55"/>
      <c r="G115" s="362"/>
      <c r="H115" s="362"/>
      <c r="I115" s="56"/>
      <c r="J115" s="362"/>
      <c r="K115" s="362"/>
      <c r="L115" s="362"/>
    </row>
    <row r="116" spans="2:12" s="63" customFormat="1" ht="15" customHeight="1" x14ac:dyDescent="0.15">
      <c r="B116" s="55"/>
      <c r="C116" s="55"/>
      <c r="D116" s="56"/>
      <c r="E116" s="55"/>
      <c r="F116" s="55"/>
      <c r="G116" s="362"/>
      <c r="H116" s="362"/>
      <c r="I116" s="56"/>
      <c r="J116" s="362"/>
      <c r="K116" s="362"/>
      <c r="L116" s="362"/>
    </row>
    <row r="117" spans="2:12" s="63" customFormat="1" ht="15" customHeight="1" x14ac:dyDescent="0.15">
      <c r="B117" s="55"/>
      <c r="C117" s="55"/>
      <c r="D117" s="56"/>
      <c r="E117" s="55"/>
      <c r="F117" s="55"/>
      <c r="G117" s="362"/>
      <c r="H117" s="362"/>
      <c r="I117" s="56"/>
      <c r="J117" s="362"/>
      <c r="K117" s="362"/>
      <c r="L117" s="362"/>
    </row>
    <row r="118" spans="2:12" s="63" customFormat="1" ht="15" customHeight="1" x14ac:dyDescent="0.15">
      <c r="B118" s="55"/>
      <c r="C118" s="55"/>
      <c r="D118" s="56"/>
      <c r="E118" s="55"/>
      <c r="F118" s="55"/>
      <c r="G118" s="362"/>
      <c r="H118" s="362"/>
      <c r="I118" s="56"/>
      <c r="J118" s="362"/>
      <c r="K118" s="362"/>
      <c r="L118" s="362"/>
    </row>
    <row r="119" spans="2:12" s="63" customFormat="1" ht="15" customHeight="1" x14ac:dyDescent="0.15">
      <c r="B119" s="55"/>
      <c r="C119" s="55"/>
      <c r="D119" s="56"/>
      <c r="E119" s="55"/>
      <c r="F119" s="55"/>
      <c r="G119" s="362"/>
      <c r="H119" s="362"/>
      <c r="I119" s="56"/>
      <c r="J119" s="362"/>
      <c r="K119" s="362"/>
      <c r="L119" s="362"/>
    </row>
    <row r="120" spans="2:12" s="63" customFormat="1" ht="15" customHeight="1" x14ac:dyDescent="0.15">
      <c r="B120" s="55"/>
      <c r="C120" s="55"/>
      <c r="D120" s="56"/>
      <c r="E120" s="55"/>
      <c r="F120" s="55"/>
      <c r="G120" s="362"/>
      <c r="H120" s="362"/>
      <c r="I120" s="56"/>
      <c r="J120" s="362"/>
      <c r="K120" s="362"/>
      <c r="L120" s="362"/>
    </row>
    <row r="121" spans="2:12" s="63" customFormat="1" ht="15" customHeight="1" x14ac:dyDescent="0.15">
      <c r="B121" s="55"/>
      <c r="C121" s="55"/>
      <c r="D121" s="56"/>
      <c r="E121" s="55"/>
      <c r="F121" s="55"/>
      <c r="G121" s="362"/>
      <c r="H121" s="362"/>
      <c r="I121" s="56"/>
      <c r="J121" s="362"/>
      <c r="K121" s="362"/>
      <c r="L121" s="362"/>
    </row>
    <row r="122" spans="2:12" s="63" customFormat="1" ht="15" customHeight="1" x14ac:dyDescent="0.15">
      <c r="B122" s="55"/>
      <c r="C122" s="55"/>
      <c r="D122" s="56"/>
      <c r="E122" s="55"/>
      <c r="F122" s="55"/>
      <c r="G122" s="362"/>
      <c r="H122" s="362"/>
      <c r="I122" s="56"/>
      <c r="J122" s="362"/>
      <c r="K122" s="362"/>
      <c r="L122" s="362"/>
    </row>
    <row r="123" spans="2:12" s="63" customFormat="1" ht="15" customHeight="1" x14ac:dyDescent="0.15">
      <c r="B123" s="55"/>
      <c r="C123" s="55"/>
      <c r="D123" s="56"/>
      <c r="E123" s="55"/>
      <c r="F123" s="55"/>
      <c r="G123" s="362"/>
      <c r="H123" s="362"/>
      <c r="I123" s="56"/>
      <c r="J123" s="362"/>
      <c r="K123" s="362"/>
      <c r="L123" s="362"/>
    </row>
    <row r="124" spans="2:12" s="63" customFormat="1" ht="15" customHeight="1" x14ac:dyDescent="0.15">
      <c r="B124" s="55"/>
      <c r="C124" s="55"/>
      <c r="D124" s="56"/>
      <c r="E124" s="55"/>
      <c r="F124" s="55"/>
      <c r="G124" s="362"/>
      <c r="H124" s="362"/>
      <c r="I124" s="56"/>
      <c r="J124" s="362"/>
      <c r="K124" s="362"/>
      <c r="L124" s="362"/>
    </row>
    <row r="125" spans="2:12" s="63" customFormat="1" ht="15" customHeight="1" x14ac:dyDescent="0.15">
      <c r="B125" s="55"/>
      <c r="C125" s="55"/>
      <c r="D125" s="56"/>
      <c r="E125" s="55"/>
      <c r="F125" s="55"/>
      <c r="G125" s="362"/>
      <c r="H125" s="362"/>
      <c r="I125" s="56"/>
      <c r="J125" s="362"/>
      <c r="K125" s="362"/>
      <c r="L125" s="362"/>
    </row>
    <row r="126" spans="2:12" s="63" customFormat="1" ht="15" customHeight="1" x14ac:dyDescent="0.15">
      <c r="B126" s="55"/>
      <c r="C126" s="55"/>
      <c r="D126" s="56"/>
      <c r="E126" s="55"/>
      <c r="F126" s="55"/>
      <c r="G126" s="362"/>
      <c r="H126" s="362"/>
      <c r="I126" s="56"/>
      <c r="J126" s="362"/>
      <c r="K126" s="362"/>
      <c r="L126" s="362"/>
    </row>
    <row r="127" spans="2:12" s="63" customFormat="1" ht="15" customHeight="1" x14ac:dyDescent="0.15">
      <c r="B127" s="55"/>
      <c r="C127" s="55"/>
      <c r="D127" s="56"/>
      <c r="E127" s="55"/>
      <c r="F127" s="55"/>
      <c r="G127" s="362"/>
      <c r="H127" s="362"/>
      <c r="I127" s="56"/>
      <c r="J127" s="362"/>
      <c r="K127" s="362"/>
      <c r="L127" s="362"/>
    </row>
    <row r="128" spans="2:12" s="63" customFormat="1" ht="15" customHeight="1" x14ac:dyDescent="0.15">
      <c r="B128" s="55"/>
      <c r="C128" s="55"/>
      <c r="D128" s="56"/>
      <c r="E128" s="55"/>
      <c r="F128" s="55"/>
      <c r="G128" s="362"/>
      <c r="H128" s="362"/>
      <c r="I128" s="56"/>
      <c r="J128" s="362"/>
      <c r="K128" s="362"/>
      <c r="L128" s="362"/>
    </row>
    <row r="129" spans="2:12" s="63" customFormat="1" ht="15" customHeight="1" x14ac:dyDescent="0.15">
      <c r="B129" s="55"/>
      <c r="C129" s="55"/>
      <c r="D129" s="56"/>
      <c r="E129" s="55"/>
      <c r="F129" s="55"/>
      <c r="G129" s="362"/>
      <c r="H129" s="362"/>
      <c r="I129" s="56"/>
      <c r="J129" s="362"/>
      <c r="K129" s="362"/>
      <c r="L129" s="362"/>
    </row>
    <row r="130" spans="2:12" s="63" customFormat="1" ht="15" customHeight="1" x14ac:dyDescent="0.15">
      <c r="B130" s="55"/>
      <c r="C130" s="55"/>
      <c r="D130" s="56"/>
      <c r="E130" s="55"/>
      <c r="F130" s="55"/>
      <c r="G130" s="362"/>
      <c r="H130" s="362"/>
      <c r="I130" s="56"/>
      <c r="J130" s="362"/>
      <c r="K130" s="362"/>
      <c r="L130" s="362"/>
    </row>
    <row r="131" spans="2:12" s="63" customFormat="1" ht="15" customHeight="1" x14ac:dyDescent="0.15">
      <c r="B131" s="55"/>
      <c r="C131" s="55"/>
      <c r="D131" s="56"/>
      <c r="E131" s="55"/>
      <c r="F131" s="55"/>
      <c r="G131" s="362"/>
      <c r="H131" s="362"/>
      <c r="I131" s="56"/>
      <c r="J131" s="362"/>
      <c r="K131" s="362"/>
      <c r="L131" s="362"/>
    </row>
    <row r="132" spans="2:12" s="63" customFormat="1" ht="15" customHeight="1" x14ac:dyDescent="0.15">
      <c r="B132" s="55"/>
      <c r="C132" s="55"/>
      <c r="D132" s="56"/>
      <c r="E132" s="55"/>
      <c r="F132" s="55"/>
      <c r="G132" s="362"/>
      <c r="H132" s="362"/>
      <c r="I132" s="56"/>
      <c r="J132" s="362"/>
      <c r="K132" s="362"/>
      <c r="L132" s="362"/>
    </row>
    <row r="133" spans="2:12" s="63" customFormat="1" ht="15" customHeight="1" x14ac:dyDescent="0.15">
      <c r="B133" s="55"/>
      <c r="C133" s="55"/>
      <c r="D133" s="56"/>
      <c r="E133" s="55"/>
      <c r="F133" s="55"/>
      <c r="G133" s="362"/>
      <c r="H133" s="362"/>
      <c r="I133" s="56"/>
      <c r="J133" s="362"/>
      <c r="K133" s="362"/>
      <c r="L133" s="362"/>
    </row>
    <row r="134" spans="2:12" s="63" customFormat="1" ht="15" customHeight="1" x14ac:dyDescent="0.15">
      <c r="B134" s="55"/>
      <c r="C134" s="55"/>
      <c r="D134" s="56"/>
      <c r="E134" s="55"/>
      <c r="F134" s="55"/>
      <c r="G134" s="362"/>
      <c r="H134" s="362"/>
      <c r="I134" s="56"/>
      <c r="J134" s="362"/>
      <c r="K134" s="362"/>
      <c r="L134" s="362"/>
    </row>
    <row r="135" spans="2:12" s="63" customFormat="1" ht="15" customHeight="1" x14ac:dyDescent="0.15">
      <c r="B135" s="55"/>
      <c r="C135" s="55"/>
      <c r="D135" s="56"/>
      <c r="E135" s="55"/>
      <c r="F135" s="55"/>
      <c r="G135" s="362"/>
      <c r="H135" s="362"/>
      <c r="I135" s="56"/>
      <c r="J135" s="362"/>
      <c r="K135" s="362"/>
      <c r="L135" s="362"/>
    </row>
    <row r="136" spans="2:12" s="63" customFormat="1" ht="15" customHeight="1" x14ac:dyDescent="0.15">
      <c r="B136" s="55"/>
      <c r="C136" s="55"/>
      <c r="D136" s="56"/>
      <c r="E136" s="55"/>
      <c r="F136" s="55"/>
      <c r="G136" s="362"/>
      <c r="H136" s="362"/>
      <c r="I136" s="56"/>
      <c r="J136" s="362"/>
      <c r="K136" s="362"/>
      <c r="L136" s="362"/>
    </row>
    <row r="137" spans="2:12" s="63" customFormat="1" ht="15" customHeight="1" x14ac:dyDescent="0.15">
      <c r="B137" s="55"/>
      <c r="C137" s="55"/>
      <c r="D137" s="56"/>
      <c r="E137" s="55"/>
      <c r="F137" s="55"/>
      <c r="G137" s="362"/>
      <c r="H137" s="362"/>
      <c r="I137" s="56"/>
      <c r="J137" s="362"/>
      <c r="K137" s="362"/>
      <c r="L137" s="362"/>
    </row>
    <row r="138" spans="2:12" s="63" customFormat="1" ht="15" customHeight="1" x14ac:dyDescent="0.15">
      <c r="B138" s="55"/>
      <c r="C138" s="55"/>
      <c r="D138" s="56"/>
      <c r="E138" s="55"/>
      <c r="F138" s="55"/>
      <c r="G138" s="362"/>
      <c r="H138" s="362"/>
      <c r="I138" s="56"/>
      <c r="J138" s="362"/>
      <c r="K138" s="362"/>
      <c r="L138" s="362"/>
    </row>
    <row r="139" spans="2:12" s="63" customFormat="1" ht="15" customHeight="1" x14ac:dyDescent="0.15">
      <c r="B139" s="55"/>
      <c r="C139" s="55"/>
      <c r="D139" s="56"/>
      <c r="E139" s="55"/>
      <c r="F139" s="55"/>
      <c r="G139" s="362"/>
      <c r="H139" s="362"/>
      <c r="I139" s="56"/>
      <c r="J139" s="362"/>
      <c r="K139" s="362"/>
      <c r="L139" s="362"/>
    </row>
    <row r="140" spans="2:12" s="63" customFormat="1" ht="15" customHeight="1" x14ac:dyDescent="0.15">
      <c r="B140" s="55"/>
      <c r="C140" s="55"/>
      <c r="D140" s="56"/>
      <c r="E140" s="55"/>
      <c r="F140" s="55"/>
      <c r="G140" s="362"/>
      <c r="H140" s="362"/>
      <c r="I140" s="56"/>
      <c r="J140" s="362"/>
      <c r="K140" s="362"/>
      <c r="L140" s="362"/>
    </row>
    <row r="141" spans="2:12" s="63" customFormat="1" ht="15" customHeight="1" x14ac:dyDescent="0.15">
      <c r="B141" s="55"/>
      <c r="C141" s="55"/>
      <c r="D141" s="56"/>
      <c r="E141" s="55"/>
      <c r="F141" s="55"/>
      <c r="G141" s="362"/>
      <c r="H141" s="362"/>
      <c r="I141" s="56"/>
      <c r="J141" s="362"/>
      <c r="K141" s="362"/>
      <c r="L141" s="362"/>
    </row>
    <row r="142" spans="2:12" s="63" customFormat="1" ht="15" customHeight="1" x14ac:dyDescent="0.15">
      <c r="B142" s="55"/>
      <c r="C142" s="55"/>
      <c r="D142" s="56"/>
      <c r="E142" s="55"/>
      <c r="F142" s="55"/>
      <c r="G142" s="362"/>
      <c r="H142" s="362"/>
      <c r="I142" s="56"/>
      <c r="J142" s="362"/>
      <c r="K142" s="362"/>
      <c r="L142" s="362"/>
    </row>
    <row r="143" spans="2:12" s="63" customFormat="1" ht="15" customHeight="1" x14ac:dyDescent="0.15">
      <c r="B143" s="55"/>
      <c r="C143" s="55"/>
      <c r="D143" s="56"/>
      <c r="E143" s="55"/>
      <c r="F143" s="55"/>
      <c r="G143" s="362"/>
      <c r="H143" s="362"/>
      <c r="I143" s="56"/>
      <c r="J143" s="362"/>
      <c r="K143" s="362"/>
      <c r="L143" s="362"/>
    </row>
    <row r="144" spans="2:12" s="63" customFormat="1" ht="15" customHeight="1" x14ac:dyDescent="0.15">
      <c r="B144" s="55"/>
      <c r="C144" s="55"/>
      <c r="D144" s="56"/>
      <c r="E144" s="55"/>
      <c r="F144" s="55"/>
      <c r="G144" s="362"/>
      <c r="H144" s="362"/>
      <c r="I144" s="56"/>
      <c r="J144" s="362"/>
      <c r="K144" s="362"/>
      <c r="L144" s="362"/>
    </row>
    <row r="145" spans="2:12" s="63" customFormat="1" ht="15" customHeight="1" x14ac:dyDescent="0.15">
      <c r="B145" s="55"/>
      <c r="C145" s="55"/>
      <c r="D145" s="56"/>
      <c r="E145" s="55"/>
      <c r="F145" s="55"/>
      <c r="G145" s="362"/>
      <c r="H145" s="362"/>
      <c r="I145" s="56"/>
      <c r="J145" s="362"/>
      <c r="K145" s="362"/>
      <c r="L145" s="362"/>
    </row>
    <row r="146" spans="2:12" s="63" customFormat="1" ht="15" customHeight="1" x14ac:dyDescent="0.15">
      <c r="B146" s="55"/>
      <c r="C146" s="55"/>
      <c r="D146" s="56"/>
      <c r="E146" s="55"/>
      <c r="F146" s="55"/>
      <c r="G146" s="362"/>
      <c r="H146" s="362"/>
      <c r="I146" s="56"/>
      <c r="J146" s="362"/>
      <c r="K146" s="362"/>
      <c r="L146" s="362"/>
    </row>
    <row r="147" spans="2:12" s="63" customFormat="1" ht="15" customHeight="1" x14ac:dyDescent="0.15">
      <c r="B147" s="55"/>
      <c r="C147" s="55"/>
      <c r="D147" s="56"/>
      <c r="E147" s="55"/>
      <c r="F147" s="55"/>
      <c r="G147" s="362"/>
      <c r="H147" s="362"/>
      <c r="I147" s="56"/>
      <c r="J147" s="362"/>
      <c r="K147" s="362"/>
      <c r="L147" s="362"/>
    </row>
    <row r="148" spans="2:12" s="63" customFormat="1" ht="15" customHeight="1" x14ac:dyDescent="0.15">
      <c r="B148" s="55"/>
      <c r="C148" s="55"/>
      <c r="D148" s="56"/>
      <c r="E148" s="55"/>
      <c r="F148" s="55"/>
      <c r="G148" s="362"/>
      <c r="H148" s="362"/>
      <c r="I148" s="56"/>
      <c r="J148" s="362"/>
      <c r="K148" s="362"/>
      <c r="L148" s="362"/>
    </row>
    <row r="149" spans="2:12" s="63" customFormat="1" ht="15" customHeight="1" x14ac:dyDescent="0.15">
      <c r="B149" s="55"/>
      <c r="C149" s="55"/>
      <c r="D149" s="56"/>
      <c r="E149" s="55"/>
      <c r="F149" s="55"/>
      <c r="G149" s="362"/>
      <c r="H149" s="362"/>
      <c r="I149" s="56"/>
      <c r="J149" s="362"/>
      <c r="K149" s="362"/>
      <c r="L149" s="362"/>
    </row>
    <row r="150" spans="2:12" s="63" customFormat="1" ht="15" customHeight="1" x14ac:dyDescent="0.15">
      <c r="B150" s="55"/>
      <c r="C150" s="55"/>
      <c r="D150" s="56"/>
      <c r="E150" s="55"/>
      <c r="F150" s="55"/>
      <c r="G150" s="362"/>
      <c r="H150" s="362"/>
      <c r="I150" s="56"/>
      <c r="J150" s="362"/>
      <c r="K150" s="362"/>
      <c r="L150" s="362"/>
    </row>
    <row r="151" spans="2:12" s="63" customFormat="1" ht="15" customHeight="1" x14ac:dyDescent="0.15">
      <c r="B151" s="55"/>
      <c r="C151" s="55"/>
      <c r="D151" s="56"/>
      <c r="E151" s="55"/>
      <c r="F151" s="55"/>
      <c r="G151" s="362"/>
      <c r="H151" s="362"/>
      <c r="I151" s="56"/>
      <c r="J151" s="362"/>
      <c r="K151" s="362"/>
      <c r="L151" s="362"/>
    </row>
    <row r="152" spans="2:12" s="63" customFormat="1" ht="15" customHeight="1" x14ac:dyDescent="0.15">
      <c r="B152" s="55"/>
      <c r="C152" s="55"/>
      <c r="D152" s="56"/>
      <c r="E152" s="55"/>
      <c r="F152" s="55"/>
      <c r="G152" s="362"/>
      <c r="H152" s="362"/>
      <c r="I152" s="56"/>
      <c r="J152" s="362"/>
      <c r="K152" s="362"/>
      <c r="L152" s="362"/>
    </row>
    <row r="153" spans="2:12" s="63" customFormat="1" ht="15" customHeight="1" x14ac:dyDescent="0.15">
      <c r="B153" s="55"/>
      <c r="C153" s="55"/>
      <c r="D153" s="56"/>
      <c r="E153" s="55"/>
      <c r="F153" s="55"/>
      <c r="G153" s="362"/>
      <c r="H153" s="362"/>
      <c r="I153" s="56"/>
      <c r="J153" s="362"/>
      <c r="K153" s="362"/>
      <c r="L153" s="362"/>
    </row>
    <row r="154" spans="2:12" s="63" customFormat="1" ht="15" customHeight="1" x14ac:dyDescent="0.15">
      <c r="B154" s="55"/>
      <c r="C154" s="55"/>
      <c r="D154" s="56"/>
      <c r="E154" s="55"/>
      <c r="F154" s="55"/>
      <c r="G154" s="362"/>
      <c r="H154" s="362"/>
      <c r="I154" s="56"/>
      <c r="J154" s="362"/>
      <c r="K154" s="362"/>
      <c r="L154" s="362"/>
    </row>
    <row r="155" spans="2:12" s="63" customFormat="1" ht="15" customHeight="1" x14ac:dyDescent="0.15">
      <c r="B155" s="55"/>
      <c r="C155" s="55"/>
      <c r="D155" s="56"/>
      <c r="E155" s="55"/>
      <c r="F155" s="55"/>
      <c r="G155" s="362"/>
      <c r="H155" s="362"/>
      <c r="I155" s="56"/>
      <c r="J155" s="362"/>
      <c r="K155" s="362"/>
      <c r="L155" s="362"/>
    </row>
    <row r="156" spans="2:12" s="63" customFormat="1" ht="15" customHeight="1" x14ac:dyDescent="0.15">
      <c r="B156" s="55"/>
      <c r="C156" s="55"/>
      <c r="D156" s="56"/>
      <c r="E156" s="55"/>
      <c r="F156" s="55"/>
      <c r="G156" s="362"/>
      <c r="H156" s="362"/>
      <c r="I156" s="56"/>
      <c r="J156" s="362"/>
      <c r="K156" s="362"/>
      <c r="L156" s="362"/>
    </row>
    <row r="157" spans="2:12" s="63" customFormat="1" ht="15" customHeight="1" x14ac:dyDescent="0.15">
      <c r="B157" s="55"/>
      <c r="C157" s="55"/>
      <c r="D157" s="56"/>
      <c r="E157" s="55"/>
      <c r="F157" s="55"/>
      <c r="G157" s="362"/>
      <c r="H157" s="362"/>
      <c r="I157" s="56"/>
      <c r="J157" s="362"/>
      <c r="K157" s="362"/>
      <c r="L157" s="362"/>
    </row>
    <row r="158" spans="2:12" s="63" customFormat="1" ht="15" customHeight="1" x14ac:dyDescent="0.15">
      <c r="B158" s="55"/>
      <c r="C158" s="55"/>
      <c r="D158" s="56"/>
      <c r="E158" s="55"/>
      <c r="F158" s="55"/>
      <c r="G158" s="362"/>
      <c r="H158" s="362"/>
      <c r="I158" s="56"/>
      <c r="J158" s="362"/>
      <c r="K158" s="362"/>
      <c r="L158" s="362"/>
    </row>
    <row r="159" spans="2:12" s="63" customFormat="1" ht="15" customHeight="1" x14ac:dyDescent="0.15">
      <c r="B159" s="55"/>
      <c r="C159" s="55"/>
      <c r="D159" s="56"/>
      <c r="E159" s="55"/>
      <c r="F159" s="55"/>
      <c r="G159" s="362"/>
      <c r="H159" s="362"/>
      <c r="I159" s="56"/>
      <c r="J159" s="362"/>
      <c r="K159" s="362"/>
      <c r="L159" s="362"/>
    </row>
    <row r="160" spans="2:12" s="63" customFormat="1" ht="15" customHeight="1" x14ac:dyDescent="0.15">
      <c r="B160" s="55"/>
      <c r="C160" s="55"/>
      <c r="D160" s="56"/>
      <c r="E160" s="55"/>
      <c r="F160" s="55"/>
      <c r="G160" s="362"/>
      <c r="H160" s="362"/>
      <c r="I160" s="56"/>
      <c r="J160" s="362"/>
      <c r="K160" s="362"/>
      <c r="L160" s="362"/>
    </row>
    <row r="161" spans="2:12" s="63" customFormat="1" ht="15" customHeight="1" x14ac:dyDescent="0.15">
      <c r="B161" s="55"/>
      <c r="C161" s="55"/>
      <c r="D161" s="56"/>
      <c r="E161" s="55"/>
      <c r="F161" s="55"/>
      <c r="G161" s="362"/>
      <c r="H161" s="362"/>
      <c r="I161" s="56"/>
      <c r="J161" s="362"/>
      <c r="K161" s="362"/>
      <c r="L161" s="362"/>
    </row>
    <row r="162" spans="2:12" s="63" customFormat="1" ht="15" customHeight="1" x14ac:dyDescent="0.15">
      <c r="B162" s="55"/>
      <c r="C162" s="55"/>
      <c r="D162" s="56"/>
      <c r="E162" s="55"/>
      <c r="F162" s="55"/>
      <c r="G162" s="362"/>
      <c r="H162" s="362"/>
      <c r="I162" s="56"/>
      <c r="J162" s="362"/>
      <c r="K162" s="362"/>
      <c r="L162" s="362"/>
    </row>
    <row r="163" spans="2:12" s="63" customFormat="1" ht="15" customHeight="1" x14ac:dyDescent="0.15">
      <c r="B163" s="55"/>
      <c r="C163" s="55"/>
      <c r="D163" s="56"/>
      <c r="E163" s="55"/>
      <c r="F163" s="55"/>
      <c r="G163" s="362"/>
      <c r="H163" s="362"/>
      <c r="I163" s="56"/>
      <c r="J163" s="362"/>
      <c r="K163" s="362"/>
      <c r="L163" s="362"/>
    </row>
    <row r="164" spans="2:12" s="63" customFormat="1" ht="15" customHeight="1" x14ac:dyDescent="0.15">
      <c r="B164" s="55"/>
      <c r="C164" s="55"/>
      <c r="D164" s="56"/>
      <c r="E164" s="55"/>
      <c r="F164" s="55"/>
      <c r="G164" s="362"/>
      <c r="H164" s="362"/>
      <c r="I164" s="56"/>
      <c r="J164" s="362"/>
      <c r="K164" s="362"/>
      <c r="L164" s="362"/>
    </row>
    <row r="165" spans="2:12" s="63" customFormat="1" ht="15" customHeight="1" x14ac:dyDescent="0.15">
      <c r="B165" s="55"/>
      <c r="C165" s="55"/>
      <c r="D165" s="56"/>
      <c r="E165" s="55"/>
      <c r="F165" s="55"/>
      <c r="G165" s="362"/>
      <c r="H165" s="362"/>
      <c r="I165" s="56"/>
      <c r="J165" s="362"/>
      <c r="K165" s="362"/>
      <c r="L165" s="362"/>
    </row>
    <row r="166" spans="2:12" s="63" customFormat="1" ht="15" customHeight="1" x14ac:dyDescent="0.15">
      <c r="B166" s="55"/>
      <c r="C166" s="55"/>
      <c r="D166" s="56"/>
      <c r="E166" s="55"/>
      <c r="F166" s="55"/>
      <c r="G166" s="362"/>
      <c r="H166" s="362"/>
      <c r="I166" s="56"/>
      <c r="J166" s="362"/>
      <c r="K166" s="362"/>
      <c r="L166" s="362"/>
    </row>
    <row r="167" spans="2:12" s="63" customFormat="1" ht="15" customHeight="1" x14ac:dyDescent="0.15">
      <c r="B167" s="55"/>
      <c r="C167" s="55"/>
      <c r="D167" s="56"/>
      <c r="E167" s="55"/>
      <c r="F167" s="55"/>
      <c r="G167" s="362"/>
      <c r="H167" s="362"/>
      <c r="I167" s="56"/>
      <c r="J167" s="362"/>
      <c r="K167" s="362"/>
      <c r="L167" s="362"/>
    </row>
    <row r="168" spans="2:12" s="63" customFormat="1" ht="15" customHeight="1" x14ac:dyDescent="0.15">
      <c r="B168" s="55"/>
      <c r="C168" s="55"/>
      <c r="D168" s="56"/>
      <c r="E168" s="55"/>
      <c r="F168" s="55"/>
      <c r="G168" s="362"/>
      <c r="H168" s="362"/>
      <c r="I168" s="56"/>
      <c r="J168" s="362"/>
      <c r="K168" s="362"/>
      <c r="L168" s="362"/>
    </row>
    <row r="169" spans="2:12" s="63" customFormat="1" ht="15" customHeight="1" x14ac:dyDescent="0.15">
      <c r="B169" s="55"/>
      <c r="C169" s="55"/>
      <c r="D169" s="56"/>
      <c r="E169" s="55"/>
      <c r="F169" s="55"/>
      <c r="G169" s="362"/>
      <c r="H169" s="362"/>
      <c r="I169" s="56"/>
      <c r="J169" s="362"/>
      <c r="K169" s="362"/>
      <c r="L169" s="362"/>
    </row>
    <row r="170" spans="2:12" s="63" customFormat="1" ht="15" customHeight="1" x14ac:dyDescent="0.15">
      <c r="B170" s="55"/>
      <c r="C170" s="55"/>
      <c r="D170" s="56"/>
      <c r="E170" s="55"/>
      <c r="F170" s="55"/>
      <c r="G170" s="362"/>
      <c r="H170" s="362"/>
      <c r="I170" s="56"/>
      <c r="J170" s="362"/>
      <c r="K170" s="362"/>
      <c r="L170" s="362"/>
    </row>
    <row r="171" spans="2:12" s="63" customFormat="1" ht="15" customHeight="1" x14ac:dyDescent="0.15">
      <c r="B171" s="55"/>
      <c r="C171" s="55"/>
      <c r="D171" s="56"/>
      <c r="E171" s="55"/>
      <c r="F171" s="55"/>
      <c r="G171" s="362"/>
      <c r="H171" s="362"/>
      <c r="I171" s="56"/>
      <c r="J171" s="362"/>
      <c r="K171" s="362"/>
      <c r="L171" s="362"/>
    </row>
    <row r="172" spans="2:12" s="63" customFormat="1" ht="15" customHeight="1" x14ac:dyDescent="0.15">
      <c r="B172" s="55"/>
      <c r="C172" s="55"/>
      <c r="D172" s="56"/>
      <c r="E172" s="55"/>
      <c r="F172" s="55"/>
      <c r="G172" s="362"/>
      <c r="H172" s="362"/>
      <c r="I172" s="56"/>
      <c r="J172" s="362"/>
      <c r="K172" s="362"/>
      <c r="L172" s="362"/>
    </row>
    <row r="173" spans="2:12" s="63" customFormat="1" ht="15" customHeight="1" x14ac:dyDescent="0.15">
      <c r="B173" s="55"/>
      <c r="C173" s="55"/>
      <c r="D173" s="56"/>
      <c r="E173" s="55"/>
      <c r="F173" s="55"/>
      <c r="G173" s="362"/>
      <c r="H173" s="362"/>
      <c r="I173" s="56"/>
      <c r="J173" s="362"/>
      <c r="K173" s="362"/>
      <c r="L173" s="362"/>
    </row>
    <row r="174" spans="2:12" s="63" customFormat="1" ht="15" customHeight="1" x14ac:dyDescent="0.15">
      <c r="B174" s="55"/>
      <c r="C174" s="55"/>
      <c r="D174" s="56"/>
      <c r="E174" s="55"/>
      <c r="F174" s="55"/>
      <c r="G174" s="362"/>
      <c r="H174" s="362"/>
      <c r="I174" s="56"/>
      <c r="J174" s="362"/>
      <c r="K174" s="362"/>
      <c r="L174" s="362"/>
    </row>
    <row r="175" spans="2:12" s="63" customFormat="1" ht="15" customHeight="1" x14ac:dyDescent="0.15">
      <c r="B175" s="55"/>
      <c r="C175" s="55"/>
      <c r="D175" s="56"/>
      <c r="E175" s="55"/>
      <c r="F175" s="55"/>
      <c r="G175" s="362"/>
      <c r="H175" s="362"/>
      <c r="I175" s="56"/>
      <c r="J175" s="362"/>
      <c r="K175" s="362"/>
      <c r="L175" s="362"/>
    </row>
    <row r="176" spans="2:12" s="63" customFormat="1" ht="15" customHeight="1" x14ac:dyDescent="0.15">
      <c r="B176" s="55"/>
      <c r="C176" s="55"/>
      <c r="D176" s="56"/>
      <c r="E176" s="55"/>
      <c r="F176" s="55"/>
      <c r="G176" s="362"/>
      <c r="H176" s="362"/>
      <c r="I176" s="56"/>
      <c r="J176" s="362"/>
      <c r="K176" s="362"/>
      <c r="L176" s="362"/>
    </row>
    <row r="177" spans="2:12" s="63" customFormat="1" ht="15" customHeight="1" x14ac:dyDescent="0.15">
      <c r="B177" s="55"/>
      <c r="C177" s="55"/>
      <c r="D177" s="56"/>
      <c r="E177" s="55"/>
      <c r="F177" s="55"/>
      <c r="G177" s="362"/>
      <c r="H177" s="362"/>
      <c r="I177" s="56"/>
      <c r="J177" s="362"/>
      <c r="K177" s="362"/>
      <c r="L177" s="362"/>
    </row>
    <row r="178" spans="2:12" s="63" customFormat="1" ht="15" customHeight="1" x14ac:dyDescent="0.15">
      <c r="B178" s="55"/>
      <c r="C178" s="55"/>
      <c r="D178" s="56"/>
      <c r="E178" s="55"/>
      <c r="F178" s="55"/>
      <c r="G178" s="362"/>
      <c r="H178" s="362"/>
      <c r="I178" s="56"/>
      <c r="J178" s="362"/>
      <c r="K178" s="362"/>
      <c r="L178" s="362"/>
    </row>
    <row r="179" spans="2:12" s="63" customFormat="1" ht="15" customHeight="1" x14ac:dyDescent="0.15">
      <c r="B179" s="55"/>
      <c r="C179" s="55"/>
      <c r="D179" s="56"/>
      <c r="E179" s="55"/>
      <c r="F179" s="55"/>
      <c r="G179" s="362"/>
      <c r="H179" s="362"/>
      <c r="I179" s="56"/>
      <c r="J179" s="362"/>
      <c r="K179" s="362"/>
      <c r="L179" s="362"/>
    </row>
    <row r="180" spans="2:12" s="63" customFormat="1" ht="15" customHeight="1" x14ac:dyDescent="0.15">
      <c r="B180" s="55"/>
      <c r="C180" s="55"/>
      <c r="D180" s="56"/>
      <c r="E180" s="55"/>
      <c r="F180" s="55"/>
      <c r="G180" s="362"/>
      <c r="H180" s="362"/>
      <c r="I180" s="56"/>
      <c r="J180" s="362"/>
      <c r="K180" s="362"/>
      <c r="L180" s="362"/>
    </row>
    <row r="181" spans="2:12" s="63" customFormat="1" ht="15" customHeight="1" x14ac:dyDescent="0.15">
      <c r="B181" s="55"/>
      <c r="C181" s="55"/>
      <c r="D181" s="56"/>
      <c r="E181" s="55"/>
      <c r="F181" s="55"/>
      <c r="G181" s="362"/>
      <c r="H181" s="362"/>
      <c r="I181" s="56"/>
      <c r="J181" s="362"/>
      <c r="K181" s="362"/>
      <c r="L181" s="362"/>
    </row>
    <row r="182" spans="2:12" s="63" customFormat="1" ht="15" customHeight="1" x14ac:dyDescent="0.15">
      <c r="B182" s="55"/>
      <c r="C182" s="55"/>
      <c r="D182" s="56"/>
      <c r="E182" s="55"/>
      <c r="F182" s="55"/>
      <c r="G182" s="362"/>
      <c r="H182" s="362"/>
      <c r="I182" s="56"/>
      <c r="J182" s="362"/>
      <c r="K182" s="362"/>
      <c r="L182" s="362"/>
    </row>
    <row r="183" spans="2:12" s="63" customFormat="1" ht="15" customHeight="1" x14ac:dyDescent="0.15">
      <c r="B183" s="55"/>
      <c r="C183" s="55"/>
      <c r="D183" s="56"/>
      <c r="E183" s="55"/>
      <c r="F183" s="55"/>
      <c r="G183" s="362"/>
      <c r="H183" s="362"/>
      <c r="I183" s="56"/>
      <c r="J183" s="362"/>
      <c r="K183" s="362"/>
      <c r="L183" s="362"/>
    </row>
    <row r="184" spans="2:12" s="63" customFormat="1" ht="15" customHeight="1" x14ac:dyDescent="0.15">
      <c r="B184" s="55"/>
      <c r="C184" s="55"/>
      <c r="D184" s="56"/>
      <c r="E184" s="55"/>
      <c r="F184" s="55"/>
      <c r="G184" s="362"/>
      <c r="H184" s="362"/>
      <c r="I184" s="56"/>
      <c r="J184" s="362"/>
      <c r="K184" s="362"/>
      <c r="L184" s="362"/>
    </row>
    <row r="185" spans="2:12" s="63" customFormat="1" ht="15" customHeight="1" x14ac:dyDescent="0.15">
      <c r="B185" s="55"/>
      <c r="C185" s="55"/>
      <c r="D185" s="56"/>
      <c r="E185" s="55"/>
      <c r="F185" s="55"/>
      <c r="G185" s="362"/>
      <c r="H185" s="362"/>
      <c r="I185" s="56"/>
      <c r="J185" s="362"/>
      <c r="K185" s="362"/>
      <c r="L185" s="362"/>
    </row>
    <row r="186" spans="2:12" s="63" customFormat="1" ht="15" customHeight="1" x14ac:dyDescent="0.15">
      <c r="B186" s="55"/>
      <c r="C186" s="55"/>
      <c r="D186" s="56"/>
      <c r="E186" s="55"/>
      <c r="F186" s="55"/>
      <c r="G186" s="362"/>
      <c r="H186" s="362"/>
      <c r="I186" s="56"/>
      <c r="J186" s="362"/>
      <c r="K186" s="362"/>
      <c r="L186" s="362"/>
    </row>
    <row r="187" spans="2:12" s="63" customFormat="1" ht="15" customHeight="1" x14ac:dyDescent="0.15">
      <c r="B187" s="55"/>
      <c r="C187" s="55"/>
      <c r="D187" s="56"/>
      <c r="E187" s="55"/>
      <c r="F187" s="55"/>
      <c r="G187" s="362"/>
      <c r="H187" s="362"/>
      <c r="I187" s="56"/>
      <c r="J187" s="362"/>
      <c r="K187" s="362"/>
      <c r="L187" s="362"/>
    </row>
    <row r="188" spans="2:12" s="63" customFormat="1" ht="15" customHeight="1" x14ac:dyDescent="0.15">
      <c r="B188" s="55"/>
      <c r="C188" s="55"/>
      <c r="D188" s="56"/>
      <c r="E188" s="55"/>
      <c r="F188" s="55"/>
      <c r="G188" s="362"/>
      <c r="H188" s="362"/>
      <c r="I188" s="56"/>
      <c r="J188" s="362"/>
      <c r="K188" s="362"/>
      <c r="L188" s="362"/>
    </row>
    <row r="189" spans="2:12" s="63" customFormat="1" ht="15" customHeight="1" x14ac:dyDescent="0.15">
      <c r="B189" s="55"/>
      <c r="C189" s="55"/>
      <c r="D189" s="56"/>
      <c r="E189" s="55"/>
      <c r="F189" s="55"/>
      <c r="G189" s="362"/>
      <c r="H189" s="362"/>
      <c r="I189" s="56"/>
      <c r="J189" s="362"/>
      <c r="K189" s="362"/>
      <c r="L189" s="362"/>
    </row>
    <row r="190" spans="2:12" s="63" customFormat="1" ht="15" customHeight="1" x14ac:dyDescent="0.15">
      <c r="B190" s="55"/>
      <c r="C190" s="55"/>
      <c r="D190" s="56"/>
      <c r="E190" s="55"/>
      <c r="F190" s="55"/>
      <c r="G190" s="362"/>
      <c r="H190" s="362"/>
      <c r="I190" s="56"/>
      <c r="J190" s="362"/>
      <c r="K190" s="362"/>
      <c r="L190" s="362"/>
    </row>
    <row r="191" spans="2:12" s="63" customFormat="1" ht="15" customHeight="1" x14ac:dyDescent="0.15">
      <c r="B191" s="55"/>
      <c r="C191" s="55"/>
      <c r="D191" s="56"/>
      <c r="E191" s="55"/>
      <c r="F191" s="55"/>
      <c r="G191" s="362"/>
      <c r="H191" s="362"/>
      <c r="I191" s="56"/>
      <c r="J191" s="362"/>
      <c r="K191" s="362"/>
      <c r="L191" s="362"/>
    </row>
    <row r="192" spans="2:12" s="63" customFormat="1" ht="15" customHeight="1" x14ac:dyDescent="0.15">
      <c r="B192" s="55"/>
      <c r="C192" s="55"/>
      <c r="D192" s="56"/>
      <c r="E192" s="55"/>
      <c r="F192" s="55"/>
      <c r="G192" s="362"/>
      <c r="H192" s="362"/>
      <c r="I192" s="56"/>
      <c r="J192" s="362"/>
      <c r="K192" s="362"/>
      <c r="L192" s="362"/>
    </row>
    <row r="193" spans="2:12" s="63" customFormat="1" ht="15" customHeight="1" x14ac:dyDescent="0.15">
      <c r="B193" s="55"/>
      <c r="C193" s="55"/>
      <c r="D193" s="56"/>
      <c r="E193" s="55"/>
      <c r="F193" s="55"/>
      <c r="G193" s="362"/>
      <c r="H193" s="362"/>
      <c r="I193" s="56"/>
      <c r="J193" s="362"/>
      <c r="K193" s="362"/>
      <c r="L193" s="362"/>
    </row>
    <row r="194" spans="2:12" s="63" customFormat="1" ht="15" customHeight="1" x14ac:dyDescent="0.15">
      <c r="B194" s="55"/>
      <c r="C194" s="55"/>
      <c r="D194" s="56"/>
      <c r="E194" s="55"/>
      <c r="F194" s="55"/>
      <c r="G194" s="362"/>
      <c r="H194" s="362"/>
      <c r="I194" s="56"/>
      <c r="J194" s="362"/>
      <c r="K194" s="362"/>
      <c r="L194" s="362"/>
    </row>
    <row r="195" spans="2:12" s="63" customFormat="1" ht="15" customHeight="1" x14ac:dyDescent="0.15">
      <c r="B195" s="55"/>
      <c r="C195" s="55"/>
      <c r="D195" s="56"/>
      <c r="E195" s="55"/>
      <c r="F195" s="55"/>
      <c r="G195" s="362"/>
      <c r="H195" s="362"/>
      <c r="I195" s="56"/>
      <c r="J195" s="362"/>
      <c r="K195" s="362"/>
      <c r="L195" s="362"/>
    </row>
    <row r="196" spans="2:12" s="63" customFormat="1" ht="15" customHeight="1" x14ac:dyDescent="0.15">
      <c r="B196" s="55"/>
      <c r="C196" s="55"/>
      <c r="D196" s="56"/>
      <c r="E196" s="55"/>
      <c r="F196" s="55"/>
      <c r="G196" s="362"/>
      <c r="H196" s="362"/>
      <c r="I196" s="56"/>
      <c r="J196" s="362"/>
      <c r="K196" s="362"/>
      <c r="L196" s="362"/>
    </row>
    <row r="197" spans="2:12" s="63" customFormat="1" ht="15" customHeight="1" x14ac:dyDescent="0.15">
      <c r="B197" s="55"/>
      <c r="C197" s="55"/>
      <c r="D197" s="56"/>
      <c r="E197" s="55"/>
      <c r="F197" s="55"/>
      <c r="G197" s="362"/>
      <c r="H197" s="362"/>
      <c r="I197" s="56"/>
      <c r="J197" s="362"/>
      <c r="K197" s="362"/>
      <c r="L197" s="362"/>
    </row>
    <row r="198" spans="2:12" s="63" customFormat="1" ht="15" customHeight="1" x14ac:dyDescent="0.15">
      <c r="B198" s="55"/>
      <c r="C198" s="55"/>
      <c r="D198" s="56"/>
      <c r="E198" s="55"/>
      <c r="F198" s="55"/>
      <c r="G198" s="362"/>
      <c r="H198" s="362"/>
      <c r="I198" s="56"/>
      <c r="J198" s="362"/>
      <c r="K198" s="362"/>
      <c r="L198" s="362"/>
    </row>
    <row r="199" spans="2:12" s="63" customFormat="1" ht="15" customHeight="1" x14ac:dyDescent="0.15">
      <c r="B199" s="55"/>
      <c r="C199" s="55"/>
      <c r="D199" s="56"/>
      <c r="E199" s="55"/>
      <c r="F199" s="55"/>
      <c r="G199" s="362"/>
      <c r="H199" s="362"/>
      <c r="I199" s="56"/>
      <c r="J199" s="362"/>
      <c r="K199" s="362"/>
      <c r="L199" s="362"/>
    </row>
    <row r="200" spans="2:12" s="63" customFormat="1" ht="15" customHeight="1" x14ac:dyDescent="0.15">
      <c r="B200" s="55"/>
      <c r="C200" s="55"/>
      <c r="D200" s="56"/>
      <c r="E200" s="55"/>
      <c r="F200" s="55"/>
      <c r="G200" s="362"/>
      <c r="H200" s="362"/>
      <c r="I200" s="56"/>
      <c r="J200" s="362"/>
      <c r="K200" s="362"/>
      <c r="L200" s="362"/>
    </row>
    <row r="201" spans="2:12" s="63" customFormat="1" ht="15" customHeight="1" x14ac:dyDescent="0.15">
      <c r="B201" s="55"/>
      <c r="C201" s="55"/>
      <c r="D201" s="56"/>
      <c r="E201" s="55"/>
      <c r="F201" s="55"/>
      <c r="G201" s="362"/>
      <c r="H201" s="362"/>
      <c r="I201" s="56"/>
      <c r="J201" s="362"/>
      <c r="K201" s="362"/>
      <c r="L201" s="362"/>
    </row>
    <row r="202" spans="2:12" s="63" customFormat="1" ht="15" customHeight="1" x14ac:dyDescent="0.15">
      <c r="B202" s="55"/>
      <c r="C202" s="55"/>
      <c r="D202" s="56"/>
      <c r="E202" s="55"/>
      <c r="F202" s="55"/>
      <c r="G202" s="362"/>
      <c r="H202" s="362"/>
      <c r="I202" s="56"/>
      <c r="J202" s="362"/>
      <c r="K202" s="362"/>
      <c r="L202" s="362"/>
    </row>
    <row r="203" spans="2:12" s="63" customFormat="1" ht="15" customHeight="1" x14ac:dyDescent="0.15">
      <c r="B203" s="55"/>
      <c r="C203" s="55"/>
      <c r="D203" s="56"/>
      <c r="E203" s="55"/>
      <c r="F203" s="55"/>
      <c r="G203" s="362"/>
      <c r="H203" s="362"/>
      <c r="I203" s="56"/>
      <c r="J203" s="362"/>
      <c r="K203" s="362"/>
      <c r="L203" s="362"/>
    </row>
  </sheetData>
  <protectedRanges>
    <protectedRange sqref="I50 B13 D13 B60:C60 G53:G61 B58:B59 C27:C29 D26:D29 C37 C34:D36 D37:D38 B26:B29 C50:C59 B50:B54 G26:G29 B15:B23 D15:D23 G13:G23 D50:D53 C31:C33 D31:D33 B31:B38 G31:G38" name="Estimating_8"/>
    <protectedRange sqref="B14:D14 E10:F10" name="Estimating_3_1" securityDescriptor="O:WDG:WDD:(A;;CC;;;S-1-5-21-1993962763-879983540-839522115-1221)"/>
    <protectedRange sqref="F8:H8" name="Estimating_4_1" securityDescriptor="O:WDG:WDD:(A;;CC;;;S-1-5-21-1993962763-879983540-839522115-1221)"/>
    <protectedRange sqref="B2:B6 J7:K7 C2:E2 C8:E8" name="Estimating_1_3_1" securityDescriptor="O:WDG:WDD:(A;;CC;;;S-1-5-21-1993962763-879983540-839522115-1221)"/>
    <protectedRange sqref="L52:L61 K38 L15:L29 L31:L38" name="Estimating_5_1" securityDescriptor="O:WDG:WDD:(A;;CC;;;S-1-5-21-1993962763-879983540-839522115-1221)"/>
    <protectedRange sqref="C61" name="Estimating_2_1" securityDescriptor="O:WDG:WDD:(A;;CC;;;S-1-5-21-1993962763-879983540-839522115-1221)"/>
    <protectedRange sqref="D54:D59" name="Estimating_6_1" securityDescriptor="O:WDG:WDD:(A;;CC;;;S-1-5-21-1993962763-879983540-839522115-1221)"/>
    <protectedRange sqref="L10" name="Estimating_7_1" securityDescriptor="O:WDG:WDD:(A;;CC;;;S-1-5-21-1993962763-879983540-839522115-1221)"/>
    <protectedRange sqref="F64:F69 B64:B68 K69:L69" name="Full_1" securityDescriptor="O:WDG:WDD:(A;;CC;;;S-1-5-21-1993962763-879983540-839522115-1156)"/>
    <protectedRange sqref="B69:C69" name="Full_2_1" securityDescriptor="O:WDG:WDD:(A;;CC;;;S-1-5-21-1993962763-879983540-839522115-1156)"/>
    <protectedRange sqref="D9" name="Estimating_1_1_1" securityDescriptor="O:WDG:WDD:(A;;CC;;;S-1-5-21-1993962763-879983540-839522115-1221)"/>
    <protectedRange sqref="C4:C7 L7" name="Estimating_1_2_1_1" securityDescriptor="O:WDG:WDD:(A;;CC;;;S-1-5-21-1993962763-879983540-839522115-1221)"/>
    <protectedRange sqref="C3:D3 F3 D4:E6 F5 H4 H6 D7:F7" name="Estimating_1_1_1_1_1" securityDescriptor="O:WDG:WDD:(A;;CC;;;S-1-5-21-1993962763-879983540-839522115-1221)"/>
    <protectedRange sqref="C15:C23" name="Estimating_10"/>
    <protectedRange sqref="D60" name="Estimating_1"/>
    <protectedRange sqref="D61" name="Estimating_4_1_2" securityDescriptor="O:WDG:WDD:(A;;CC;;;S-1-5-21-1993962763-879983540-839522115-1221)"/>
    <protectedRange sqref="G52" name="Estimating_8_1"/>
    <protectedRange sqref="U42 L40:L49" name="Estimating_5_1_1" securityDescriptor="O:WDG:WDD:(A;;CC;;;S-1-5-21-1993962763-879983540-839522115-1221)"/>
    <protectedRange sqref="C40:C41 C43" name="Estimating_8_2"/>
    <protectedRange sqref="L30" name="Estimating_5_1_2" securityDescriptor="O:WDG:WDD:(A;;CC;;;S-1-5-21-1993962763-879983540-839522115-1221)"/>
  </protectedRanges>
  <mergeCells count="11">
    <mergeCell ref="M7:O7"/>
    <mergeCell ref="B1:C1"/>
    <mergeCell ref="D60:F60"/>
    <mergeCell ref="D61:F61"/>
    <mergeCell ref="C3:D3"/>
    <mergeCell ref="G3:H3"/>
    <mergeCell ref="C5:D5"/>
    <mergeCell ref="G5:H5"/>
    <mergeCell ref="C7:D7"/>
    <mergeCell ref="G7:H7"/>
    <mergeCell ref="E52:F52"/>
  </mergeCells>
  <conditionalFormatting sqref="B9">
    <cfRule type="expression" dxfId="243" priority="218">
      <formula>B9="CURRENCY"</formula>
    </cfRule>
    <cfRule type="containsText" dxfId="242" priority="217" operator="containsText" text="SELECT">
      <formula>NOT(ISERROR(SEARCH("SELECT",B9)))</formula>
    </cfRule>
  </conditionalFormatting>
  <conditionalFormatting sqref="B15:B29">
    <cfRule type="expression" dxfId="241" priority="32">
      <formula>$D15&gt;0</formula>
    </cfRule>
  </conditionalFormatting>
  <conditionalFormatting sqref="B30 E30:F30">
    <cfRule type="expression" dxfId="240" priority="11">
      <formula>C42="select controls"</formula>
    </cfRule>
  </conditionalFormatting>
  <conditionalFormatting sqref="B49 E49:F49">
    <cfRule type="expression" dxfId="239" priority="28">
      <formula>C42="select controls"</formula>
    </cfRule>
  </conditionalFormatting>
  <conditionalFormatting sqref="C13">
    <cfRule type="containsText" dxfId="238" priority="223" operator="containsText" text="SELECT">
      <formula>NOT(ISERROR(SEARCH("SELECT",C13)))</formula>
    </cfRule>
  </conditionalFormatting>
  <conditionalFormatting sqref="C15:C23">
    <cfRule type="containsText" dxfId="237" priority="38" operator="containsText" text="SIZE">
      <formula>NOT(ISERROR(SEARCH("SIZE",C15)))</formula>
    </cfRule>
  </conditionalFormatting>
  <conditionalFormatting sqref="C26">
    <cfRule type="containsText" dxfId="236" priority="231" operator="containsText" text="SELECT CONTROLS">
      <formula>NOT(ISERROR(SEARCH("SELECT CONTROLS",C26)))</formula>
    </cfRule>
  </conditionalFormatting>
  <conditionalFormatting sqref="C27">
    <cfRule type="expression" dxfId="235" priority="226">
      <formula>$C$26="SMARTEC"</formula>
    </cfRule>
    <cfRule type="containsText" dxfId="234" priority="225" operator="containsText" text="st/st">
      <formula>NOT(ISERROR(SEARCH("st/st",C27)))</formula>
    </cfRule>
  </conditionalFormatting>
  <conditionalFormatting sqref="C32:C33">
    <cfRule type="cellIs" dxfId="233" priority="204" operator="greaterThan">
      <formula>0</formula>
    </cfRule>
  </conditionalFormatting>
  <conditionalFormatting sqref="C52:C61">
    <cfRule type="cellIs" dxfId="232" priority="221" operator="lessThan">
      <formula>1</formula>
    </cfRule>
  </conditionalFormatting>
  <conditionalFormatting sqref="C9:D9">
    <cfRule type="cellIs" dxfId="231" priority="214" operator="greaterThan">
      <formula>0</formula>
    </cfRule>
    <cfRule type="cellIs" dxfId="230" priority="213" operator="lessThan">
      <formula>0</formula>
    </cfRule>
  </conditionalFormatting>
  <conditionalFormatting sqref="D27">
    <cfRule type="expression" dxfId="229" priority="227">
      <formula>C26="SMARTEC"</formula>
    </cfRule>
    <cfRule type="expression" dxfId="228" priority="224">
      <formula>C27="st/st enclosure"</formula>
    </cfRule>
  </conditionalFormatting>
  <conditionalFormatting sqref="D40">
    <cfRule type="expression" dxfId="227" priority="27">
      <formula>#REF!="SMARTEC"</formula>
    </cfRule>
    <cfRule type="expression" dxfId="226" priority="26">
      <formula>C40="st/st enclosure"</formula>
    </cfRule>
  </conditionalFormatting>
  <conditionalFormatting sqref="E41:E45">
    <cfRule type="expression" dxfId="225" priority="25">
      <formula>#REF!="select controls"</formula>
    </cfRule>
  </conditionalFormatting>
  <conditionalFormatting sqref="E47 B47:B48 E48:F48">
    <cfRule type="expression" dxfId="224" priority="29">
      <formula>C43="select controls"</formula>
    </cfRule>
  </conditionalFormatting>
  <conditionalFormatting sqref="E46:F46">
    <cfRule type="expression" dxfId="223" priority="22">
      <formula>F40="select controls"</formula>
    </cfRule>
  </conditionalFormatting>
  <conditionalFormatting sqref="F42">
    <cfRule type="expression" dxfId="222" priority="13">
      <formula>G35="select controls"</formula>
    </cfRule>
  </conditionalFormatting>
  <conditionalFormatting sqref="G15:G37">
    <cfRule type="cellIs" dxfId="221" priority="1" operator="greaterThan">
      <formula>0</formula>
    </cfRule>
  </conditionalFormatting>
  <conditionalFormatting sqref="G40:G49">
    <cfRule type="cellIs" dxfId="220" priority="14" operator="greaterThan">
      <formula>0</formula>
    </cfRule>
  </conditionalFormatting>
  <conditionalFormatting sqref="G52:G61">
    <cfRule type="expression" dxfId="219" priority="176">
      <formula>C52&gt;0</formula>
    </cfRule>
  </conditionalFormatting>
  <conditionalFormatting sqref="H13 J13 L13">
    <cfRule type="expression" dxfId="218" priority="233">
      <formula>$B$9="EURO"</formula>
    </cfRule>
  </conditionalFormatting>
  <conditionalFormatting sqref="H23">
    <cfRule type="cellIs" dxfId="217" priority="41" operator="greaterThan">
      <formula>0</formula>
    </cfRule>
  </conditionalFormatting>
  <conditionalFormatting sqref="H15:L22 L52:L61">
    <cfRule type="cellIs" dxfId="216" priority="209" operator="greaterThan">
      <formula>0</formula>
    </cfRule>
  </conditionalFormatting>
  <conditionalFormatting sqref="I15:I37">
    <cfRule type="expression" dxfId="215" priority="9">
      <formula>$C$9&gt;0</formula>
    </cfRule>
  </conditionalFormatting>
  <conditionalFormatting sqref="I23:I37">
    <cfRule type="expression" dxfId="214" priority="10">
      <formula>$C$9&lt;0</formula>
    </cfRule>
  </conditionalFormatting>
  <conditionalFormatting sqref="I40:I49">
    <cfRule type="expression" dxfId="213" priority="24">
      <formula>$C$9&lt;0</formula>
    </cfRule>
    <cfRule type="expression" dxfId="212" priority="23">
      <formula>$C$9&gt;0</formula>
    </cfRule>
  </conditionalFormatting>
  <conditionalFormatting sqref="I52:I61 I15:I22">
    <cfRule type="expression" dxfId="211" priority="239">
      <formula>$C$9&lt;0</formula>
    </cfRule>
  </conditionalFormatting>
  <conditionalFormatting sqref="I52:I61">
    <cfRule type="expression" dxfId="210" priority="238">
      <formula>$C$9&gt;0</formula>
    </cfRule>
  </conditionalFormatting>
  <conditionalFormatting sqref="J38">
    <cfRule type="expression" dxfId="209" priority="237">
      <formula>$B$9="EURO"</formula>
    </cfRule>
    <cfRule type="expression" dxfId="208" priority="236">
      <formula>$B$9="USD"</formula>
    </cfRule>
    <cfRule type="expression" dxfId="207" priority="235">
      <formula>$B$9="CZK"</formula>
    </cfRule>
    <cfRule type="expression" dxfId="206" priority="234">
      <formula>$B$9="PLN"</formula>
    </cfRule>
  </conditionalFormatting>
  <conditionalFormatting sqref="J39 L39">
    <cfRule type="expression" dxfId="205" priority="12">
      <formula>$B$9="EURO"</formula>
    </cfRule>
  </conditionalFormatting>
  <conditionalFormatting sqref="J63:J69">
    <cfRule type="expression" dxfId="204" priority="240">
      <formula>#REF!="EURO"</formula>
    </cfRule>
  </conditionalFormatting>
  <conditionalFormatting sqref="K1:K30">
    <cfRule type="expression" dxfId="203" priority="6">
      <formula>$B$9="CZK"</formula>
    </cfRule>
  </conditionalFormatting>
  <conditionalFormatting sqref="K1:K37">
    <cfRule type="expression" dxfId="202" priority="5">
      <formula>$B$9="PLN"</formula>
    </cfRule>
    <cfRule type="expression" dxfId="201" priority="4">
      <formula>$B$9="USD"</formula>
    </cfRule>
    <cfRule type="expression" dxfId="200" priority="3">
      <formula>$B$9="EURO"</formula>
    </cfRule>
  </conditionalFormatting>
  <conditionalFormatting sqref="K15:K37">
    <cfRule type="cellIs" dxfId="199" priority="2" operator="greaterThan">
      <formula>0</formula>
    </cfRule>
  </conditionalFormatting>
  <conditionalFormatting sqref="K31:K1048576">
    <cfRule type="expression" dxfId="198" priority="19">
      <formula>$B$9="CZK"</formula>
    </cfRule>
  </conditionalFormatting>
  <conditionalFormatting sqref="K39:K1048576">
    <cfRule type="expression" dxfId="197" priority="18">
      <formula>$B$9="PLN"</formula>
    </cfRule>
    <cfRule type="expression" dxfId="196" priority="16">
      <formula>$B$9="EURO"</formula>
    </cfRule>
    <cfRule type="expression" dxfId="195" priority="17">
      <formula>$B$9="USD"</formula>
    </cfRule>
  </conditionalFormatting>
  <conditionalFormatting sqref="K40:K49">
    <cfRule type="cellIs" dxfId="194" priority="15" operator="greaterThan">
      <formula>0</formula>
    </cfRule>
  </conditionalFormatting>
  <conditionalFormatting sqref="K50">
    <cfRule type="cellIs" dxfId="193" priority="212" operator="greaterThan">
      <formula>0</formula>
    </cfRule>
  </conditionalFormatting>
  <conditionalFormatting sqref="K52:K61">
    <cfRule type="cellIs" dxfId="192" priority="178" operator="greaterThan">
      <formula>0</formula>
    </cfRule>
  </conditionalFormatting>
  <conditionalFormatting sqref="L23:L37 H25:H61">
    <cfRule type="cellIs" dxfId="191" priority="7" operator="greaterThan">
      <formula>0</formula>
    </cfRule>
  </conditionalFormatting>
  <conditionalFormatting sqref="L40:L49">
    <cfRule type="cellIs" dxfId="190" priority="21" operator="greaterThan">
      <formula>0</formula>
    </cfRule>
  </conditionalFormatting>
  <conditionalFormatting sqref="U42">
    <cfRule type="cellIs" dxfId="189" priority="20" operator="greaterThan">
      <formula>0</formula>
    </cfRule>
  </conditionalFormatting>
  <dataValidations count="3">
    <dataValidation type="list" allowBlank="1" showInputMessage="1" showErrorMessage="1" sqref="C26" xr:uid="{00000000-0002-0000-0D00-000000000000}">
      <formula1>"SELECT CONTROLS,SMARTEC, REMOTE TOUCH SCREEN"</formula1>
    </dataValidation>
    <dataValidation type="list" allowBlank="1" showInputMessage="1" showErrorMessage="1" sqref="C13" xr:uid="{00000000-0002-0000-0D00-000001000000}">
      <formula1>"SELECT MODEL,INTERNAL,EXTERNAL"</formula1>
    </dataValidation>
    <dataValidation type="list" allowBlank="1" showInputMessage="1" showErrorMessage="1" sqref="C65579 ID65579 RZ65579 ABV65579 ALR65579 AVN65579 BFJ65579 BPF65579 BZB65579 CIX65579 CST65579 DCP65579 DML65579 DWH65579 EGD65579 EPZ65579 EZV65579 FJR65579 FTN65579 GDJ65579 GNF65579 GXB65579 HGX65579 HQT65579 IAP65579 IKL65579 IUH65579 JED65579 JNZ65579 JXV65579 KHR65579 KRN65579 LBJ65579 LLF65579 LVB65579 MEX65579 MOT65579 MYP65579 NIL65579 NSH65579 OCD65579 OLZ65579 OVV65579 PFR65579 PPN65579 PZJ65579 QJF65579 QTB65579 RCX65579 RMT65579 RWP65579 SGL65579 SQH65579 TAD65579 TJZ65579 TTV65579 UDR65579 UNN65579 UXJ65579 VHF65579 VRB65579 WAX65579 WKT65579 WUP65579 C131115 ID131115 RZ131115 ABV131115 ALR131115 AVN131115 BFJ131115 BPF131115 BZB131115 CIX131115 CST131115 DCP131115 DML131115 DWH131115 EGD131115 EPZ131115 EZV131115 FJR131115 FTN131115 GDJ131115 GNF131115 GXB131115 HGX131115 HQT131115 IAP131115 IKL131115 IUH131115 JED131115 JNZ131115 JXV131115 KHR131115 KRN131115 LBJ131115 LLF131115 LVB131115 MEX131115 MOT131115 MYP131115 NIL131115 NSH131115 OCD131115 OLZ131115 OVV131115 PFR131115 PPN131115 PZJ131115 QJF131115 QTB131115 RCX131115 RMT131115 RWP131115 SGL131115 SQH131115 TAD131115 TJZ131115 TTV131115 UDR131115 UNN131115 UXJ131115 VHF131115 VRB131115 WAX131115 WKT131115 WUP131115 C196651 ID196651 RZ196651 ABV196651 ALR196651 AVN196651 BFJ196651 BPF196651 BZB196651 CIX196651 CST196651 DCP196651 DML196651 DWH196651 EGD196651 EPZ196651 EZV196651 FJR196651 FTN196651 GDJ196651 GNF196651 GXB196651 HGX196651 HQT196651 IAP196651 IKL196651 IUH196651 JED196651 JNZ196651 JXV196651 KHR196651 KRN196651 LBJ196651 LLF196651 LVB196651 MEX196651 MOT196651 MYP196651 NIL196651 NSH196651 OCD196651 OLZ196651 OVV196651 PFR196651 PPN196651 PZJ196651 QJF196651 QTB196651 RCX196651 RMT196651 RWP196651 SGL196651 SQH196651 TAD196651 TJZ196651 TTV196651 UDR196651 UNN196651 UXJ196651 VHF196651 VRB196651 WAX196651 WKT196651 WUP196651 C262187 ID262187 RZ262187 ABV262187 ALR262187 AVN262187 BFJ262187 BPF262187 BZB262187 CIX262187 CST262187 DCP262187 DML262187 DWH262187 EGD262187 EPZ262187 EZV262187 FJR262187 FTN262187 GDJ262187 GNF262187 GXB262187 HGX262187 HQT262187 IAP262187 IKL262187 IUH262187 JED262187 JNZ262187 JXV262187 KHR262187 KRN262187 LBJ262187 LLF262187 LVB262187 MEX262187 MOT262187 MYP262187 NIL262187 NSH262187 OCD262187 OLZ262187 OVV262187 PFR262187 PPN262187 PZJ262187 QJF262187 QTB262187 RCX262187 RMT262187 RWP262187 SGL262187 SQH262187 TAD262187 TJZ262187 TTV262187 UDR262187 UNN262187 UXJ262187 VHF262187 VRB262187 WAX262187 WKT262187 WUP262187 C327723 ID327723 RZ327723 ABV327723 ALR327723 AVN327723 BFJ327723 BPF327723 BZB327723 CIX327723 CST327723 DCP327723 DML327723 DWH327723 EGD327723 EPZ327723 EZV327723 FJR327723 FTN327723 GDJ327723 GNF327723 GXB327723 HGX327723 HQT327723 IAP327723 IKL327723 IUH327723 JED327723 JNZ327723 JXV327723 KHR327723 KRN327723 LBJ327723 LLF327723 LVB327723 MEX327723 MOT327723 MYP327723 NIL327723 NSH327723 OCD327723 OLZ327723 OVV327723 PFR327723 PPN327723 PZJ327723 QJF327723 QTB327723 RCX327723 RMT327723 RWP327723 SGL327723 SQH327723 TAD327723 TJZ327723 TTV327723 UDR327723 UNN327723 UXJ327723 VHF327723 VRB327723 WAX327723 WKT327723 WUP327723 C393259 ID393259 RZ393259 ABV393259 ALR393259 AVN393259 BFJ393259 BPF393259 BZB393259 CIX393259 CST393259 DCP393259 DML393259 DWH393259 EGD393259 EPZ393259 EZV393259 FJR393259 FTN393259 GDJ393259 GNF393259 GXB393259 HGX393259 HQT393259 IAP393259 IKL393259 IUH393259 JED393259 JNZ393259 JXV393259 KHR393259 KRN393259 LBJ393259 LLF393259 LVB393259 MEX393259 MOT393259 MYP393259 NIL393259 NSH393259 OCD393259 OLZ393259 OVV393259 PFR393259 PPN393259 PZJ393259 QJF393259 QTB393259 RCX393259 RMT393259 RWP393259 SGL393259 SQH393259 TAD393259 TJZ393259 TTV393259 UDR393259 UNN393259 UXJ393259 VHF393259 VRB393259 WAX393259 WKT393259 WUP393259 C458795 ID458795 RZ458795 ABV458795 ALR458795 AVN458795 BFJ458795 BPF458795 BZB458795 CIX458795 CST458795 DCP458795 DML458795 DWH458795 EGD458795 EPZ458795 EZV458795 FJR458795 FTN458795 GDJ458795 GNF458795 GXB458795 HGX458795 HQT458795 IAP458795 IKL458795 IUH458795 JED458795 JNZ458795 JXV458795 KHR458795 KRN458795 LBJ458795 LLF458795 LVB458795 MEX458795 MOT458795 MYP458795 NIL458795 NSH458795 OCD458795 OLZ458795 OVV458795 PFR458795 PPN458795 PZJ458795 QJF458795 QTB458795 RCX458795 RMT458795 RWP458795 SGL458795 SQH458795 TAD458795 TJZ458795 TTV458795 UDR458795 UNN458795 UXJ458795 VHF458795 VRB458795 WAX458795 WKT458795 WUP458795 C524331 ID524331 RZ524331 ABV524331 ALR524331 AVN524331 BFJ524331 BPF524331 BZB524331 CIX524331 CST524331 DCP524331 DML524331 DWH524331 EGD524331 EPZ524331 EZV524331 FJR524331 FTN524331 GDJ524331 GNF524331 GXB524331 HGX524331 HQT524331 IAP524331 IKL524331 IUH524331 JED524331 JNZ524331 JXV524331 KHR524331 KRN524331 LBJ524331 LLF524331 LVB524331 MEX524331 MOT524331 MYP524331 NIL524331 NSH524331 OCD524331 OLZ524331 OVV524331 PFR524331 PPN524331 PZJ524331 QJF524331 QTB524331 RCX524331 RMT524331 RWP524331 SGL524331 SQH524331 TAD524331 TJZ524331 TTV524331 UDR524331 UNN524331 UXJ524331 VHF524331 VRB524331 WAX524331 WKT524331 WUP524331 C589867 ID589867 RZ589867 ABV589867 ALR589867 AVN589867 BFJ589867 BPF589867 BZB589867 CIX589867 CST589867 DCP589867 DML589867 DWH589867 EGD589867 EPZ589867 EZV589867 FJR589867 FTN589867 GDJ589867 GNF589867 GXB589867 HGX589867 HQT589867 IAP589867 IKL589867 IUH589867 JED589867 JNZ589867 JXV589867 KHR589867 KRN589867 LBJ589867 LLF589867 LVB589867 MEX589867 MOT589867 MYP589867 NIL589867 NSH589867 OCD589867 OLZ589867 OVV589867 PFR589867 PPN589867 PZJ589867 QJF589867 QTB589867 RCX589867 RMT589867 RWP589867 SGL589867 SQH589867 TAD589867 TJZ589867 TTV589867 UDR589867 UNN589867 UXJ589867 VHF589867 VRB589867 WAX589867 WKT589867 WUP589867 C655403 ID655403 RZ655403 ABV655403 ALR655403 AVN655403 BFJ655403 BPF655403 BZB655403 CIX655403 CST655403 DCP655403 DML655403 DWH655403 EGD655403 EPZ655403 EZV655403 FJR655403 FTN655403 GDJ655403 GNF655403 GXB655403 HGX655403 HQT655403 IAP655403 IKL655403 IUH655403 JED655403 JNZ655403 JXV655403 KHR655403 KRN655403 LBJ655403 LLF655403 LVB655403 MEX655403 MOT655403 MYP655403 NIL655403 NSH655403 OCD655403 OLZ655403 OVV655403 PFR655403 PPN655403 PZJ655403 QJF655403 QTB655403 RCX655403 RMT655403 RWP655403 SGL655403 SQH655403 TAD655403 TJZ655403 TTV655403 UDR655403 UNN655403 UXJ655403 VHF655403 VRB655403 WAX655403 WKT655403 WUP655403 C720939 ID720939 RZ720939 ABV720939 ALR720939 AVN720939 BFJ720939 BPF720939 BZB720939 CIX720939 CST720939 DCP720939 DML720939 DWH720939 EGD720939 EPZ720939 EZV720939 FJR720939 FTN720939 GDJ720939 GNF720939 GXB720939 HGX720939 HQT720939 IAP720939 IKL720939 IUH720939 JED720939 JNZ720939 JXV720939 KHR720939 KRN720939 LBJ720939 LLF720939 LVB720939 MEX720939 MOT720939 MYP720939 NIL720939 NSH720939 OCD720939 OLZ720939 OVV720939 PFR720939 PPN720939 PZJ720939 QJF720939 QTB720939 RCX720939 RMT720939 RWP720939 SGL720939 SQH720939 TAD720939 TJZ720939 TTV720939 UDR720939 UNN720939 UXJ720939 VHF720939 VRB720939 WAX720939 WKT720939 WUP720939 C786475 ID786475 RZ786475 ABV786475 ALR786475 AVN786475 BFJ786475 BPF786475 BZB786475 CIX786475 CST786475 DCP786475 DML786475 DWH786475 EGD786475 EPZ786475 EZV786475 FJR786475 FTN786475 GDJ786475 GNF786475 GXB786475 HGX786475 HQT786475 IAP786475 IKL786475 IUH786475 JED786475 JNZ786475 JXV786475 KHR786475 KRN786475 LBJ786475 LLF786475 LVB786475 MEX786475 MOT786475 MYP786475 NIL786475 NSH786475 OCD786475 OLZ786475 OVV786475 PFR786475 PPN786475 PZJ786475 QJF786475 QTB786475 RCX786475 RMT786475 RWP786475 SGL786475 SQH786475 TAD786475 TJZ786475 TTV786475 UDR786475 UNN786475 UXJ786475 VHF786475 VRB786475 WAX786475 WKT786475 WUP786475 C852011 ID852011 RZ852011 ABV852011 ALR852011 AVN852011 BFJ852011 BPF852011 BZB852011 CIX852011 CST852011 DCP852011 DML852011 DWH852011 EGD852011 EPZ852011 EZV852011 FJR852011 FTN852011 GDJ852011 GNF852011 GXB852011 HGX852011 HQT852011 IAP852011 IKL852011 IUH852011 JED852011 JNZ852011 JXV852011 KHR852011 KRN852011 LBJ852011 LLF852011 LVB852011 MEX852011 MOT852011 MYP852011 NIL852011 NSH852011 OCD852011 OLZ852011 OVV852011 PFR852011 PPN852011 PZJ852011 QJF852011 QTB852011 RCX852011 RMT852011 RWP852011 SGL852011 SQH852011 TAD852011 TJZ852011 TTV852011 UDR852011 UNN852011 UXJ852011 VHF852011 VRB852011 WAX852011 WKT852011 WUP852011 C917547 ID917547 RZ917547 ABV917547 ALR917547 AVN917547 BFJ917547 BPF917547 BZB917547 CIX917547 CST917547 DCP917547 DML917547 DWH917547 EGD917547 EPZ917547 EZV917547 FJR917547 FTN917547 GDJ917547 GNF917547 GXB917547 HGX917547 HQT917547 IAP917547 IKL917547 IUH917547 JED917547 JNZ917547 JXV917547 KHR917547 KRN917547 LBJ917547 LLF917547 LVB917547 MEX917547 MOT917547 MYP917547 NIL917547 NSH917547 OCD917547 OLZ917547 OVV917547 PFR917547 PPN917547 PZJ917547 QJF917547 QTB917547 RCX917547 RMT917547 RWP917547 SGL917547 SQH917547 TAD917547 TJZ917547 TTV917547 UDR917547 UNN917547 UXJ917547 VHF917547 VRB917547 WAX917547 WKT917547 WUP917547 C983083 ID983083 RZ983083 ABV983083 ALR983083 AVN983083 BFJ983083 BPF983083 BZB983083 CIX983083 CST983083 DCP983083 DML983083 DWH983083 EGD983083 EPZ983083 EZV983083 FJR983083 FTN983083 GDJ983083 GNF983083 GXB983083 HGX983083 HQT983083 IAP983083 IKL983083 IUH983083 JED983083 JNZ983083 JXV983083 KHR983083 KRN983083 LBJ983083 LLF983083 LVB983083 MEX983083 MOT983083 MYP983083 NIL983083 NSH983083 OCD983083 OLZ983083 OVV983083 PFR983083 PPN983083 PZJ983083 QJF983083 QTB983083 RCX983083 RMT983083 RWP983083 SGL983083 SQH983083 TAD983083 TJZ983083 TTV983083 UDR983083 UNN983083 UXJ983083 VHF983083 VRB983083 WAX983083 WKT983083 WUP983083 ID52:ID53 RZ52:RZ53 ABV52:ABV53 ALR52:ALR53 AVN52:AVN53 BFJ52:BFJ53 BPF52:BPF53 BZB52:BZB53 CIX52:CIX53 CST52:CST53 DCP52:DCP53 DML52:DML53 DWH52:DWH53 EGD52:EGD53 EPZ52:EPZ53 EZV52:EZV53 FJR52:FJR53 FTN52:FTN53 GDJ52:GDJ53 GNF52:GNF53 GXB52:GXB53 HGX52:HGX53 HQT52:HQT53 IAP52:IAP53 IKL52:IKL53 IUH52:IUH53 JED52:JED53 JNZ52:JNZ53 JXV52:JXV53 KHR52:KHR53 KRN52:KRN53 LBJ52:LBJ53 LLF52:LLF53 LVB52:LVB53 MEX52:MEX53 MOT52:MOT53 MYP52:MYP53 NIL52:NIL53 NSH52:NSH53 OCD52:OCD53 OLZ52:OLZ53 OVV52:OVV53 PFR52:PFR53 PPN52:PPN53 PZJ52:PZJ53 QJF52:QJF53 QTB52:QTB53 RCX52:RCX53 RMT52:RMT53 RWP52:RWP53 SGL52:SGL53 SQH52:SQH53 TAD52:TAD53 TJZ52:TJZ53 TTV52:TTV53 UDR52:UDR53 UNN52:UNN53 UXJ52:UXJ53 VHF52:VHF53 VRB52:VRB53 WAX52:WAX53 WKT52:WKT53 WUP52:WUP53 WUP983063:WUP983064 C65584 ID65584 RZ65584 ABV65584 ALR65584 AVN65584 BFJ65584 BPF65584 BZB65584 CIX65584 CST65584 DCP65584 DML65584 DWH65584 EGD65584 EPZ65584 EZV65584 FJR65584 FTN65584 GDJ65584 GNF65584 GXB65584 HGX65584 HQT65584 IAP65584 IKL65584 IUH65584 JED65584 JNZ65584 JXV65584 KHR65584 KRN65584 LBJ65584 LLF65584 LVB65584 MEX65584 MOT65584 MYP65584 NIL65584 NSH65584 OCD65584 OLZ65584 OVV65584 PFR65584 PPN65584 PZJ65584 QJF65584 QTB65584 RCX65584 RMT65584 RWP65584 SGL65584 SQH65584 TAD65584 TJZ65584 TTV65584 UDR65584 UNN65584 UXJ65584 VHF65584 VRB65584 WAX65584 WKT65584 WUP65584 C131120 ID131120 RZ131120 ABV131120 ALR131120 AVN131120 BFJ131120 BPF131120 BZB131120 CIX131120 CST131120 DCP131120 DML131120 DWH131120 EGD131120 EPZ131120 EZV131120 FJR131120 FTN131120 GDJ131120 GNF131120 GXB131120 HGX131120 HQT131120 IAP131120 IKL131120 IUH131120 JED131120 JNZ131120 JXV131120 KHR131120 KRN131120 LBJ131120 LLF131120 LVB131120 MEX131120 MOT131120 MYP131120 NIL131120 NSH131120 OCD131120 OLZ131120 OVV131120 PFR131120 PPN131120 PZJ131120 QJF131120 QTB131120 RCX131120 RMT131120 RWP131120 SGL131120 SQH131120 TAD131120 TJZ131120 TTV131120 UDR131120 UNN131120 UXJ131120 VHF131120 VRB131120 WAX131120 WKT131120 WUP131120 C196656 ID196656 RZ196656 ABV196656 ALR196656 AVN196656 BFJ196656 BPF196656 BZB196656 CIX196656 CST196656 DCP196656 DML196656 DWH196656 EGD196656 EPZ196656 EZV196656 FJR196656 FTN196656 GDJ196656 GNF196656 GXB196656 HGX196656 HQT196656 IAP196656 IKL196656 IUH196656 JED196656 JNZ196656 JXV196656 KHR196656 KRN196656 LBJ196656 LLF196656 LVB196656 MEX196656 MOT196656 MYP196656 NIL196656 NSH196656 OCD196656 OLZ196656 OVV196656 PFR196656 PPN196656 PZJ196656 QJF196656 QTB196656 RCX196656 RMT196656 RWP196656 SGL196656 SQH196656 TAD196656 TJZ196656 TTV196656 UDR196656 UNN196656 UXJ196656 VHF196656 VRB196656 WAX196656 WKT196656 WUP196656 C262192 ID262192 RZ262192 ABV262192 ALR262192 AVN262192 BFJ262192 BPF262192 BZB262192 CIX262192 CST262192 DCP262192 DML262192 DWH262192 EGD262192 EPZ262192 EZV262192 FJR262192 FTN262192 GDJ262192 GNF262192 GXB262192 HGX262192 HQT262192 IAP262192 IKL262192 IUH262192 JED262192 JNZ262192 JXV262192 KHR262192 KRN262192 LBJ262192 LLF262192 LVB262192 MEX262192 MOT262192 MYP262192 NIL262192 NSH262192 OCD262192 OLZ262192 OVV262192 PFR262192 PPN262192 PZJ262192 QJF262192 QTB262192 RCX262192 RMT262192 RWP262192 SGL262192 SQH262192 TAD262192 TJZ262192 TTV262192 UDR262192 UNN262192 UXJ262192 VHF262192 VRB262192 WAX262192 WKT262192 WUP262192 C327728 ID327728 RZ327728 ABV327728 ALR327728 AVN327728 BFJ327728 BPF327728 BZB327728 CIX327728 CST327728 DCP327728 DML327728 DWH327728 EGD327728 EPZ327728 EZV327728 FJR327728 FTN327728 GDJ327728 GNF327728 GXB327728 HGX327728 HQT327728 IAP327728 IKL327728 IUH327728 JED327728 JNZ327728 JXV327728 KHR327728 KRN327728 LBJ327728 LLF327728 LVB327728 MEX327728 MOT327728 MYP327728 NIL327728 NSH327728 OCD327728 OLZ327728 OVV327728 PFR327728 PPN327728 PZJ327728 QJF327728 QTB327728 RCX327728 RMT327728 RWP327728 SGL327728 SQH327728 TAD327728 TJZ327728 TTV327728 UDR327728 UNN327728 UXJ327728 VHF327728 VRB327728 WAX327728 WKT327728 WUP327728 C393264 ID393264 RZ393264 ABV393264 ALR393264 AVN393264 BFJ393264 BPF393264 BZB393264 CIX393264 CST393264 DCP393264 DML393264 DWH393264 EGD393264 EPZ393264 EZV393264 FJR393264 FTN393264 GDJ393264 GNF393264 GXB393264 HGX393264 HQT393264 IAP393264 IKL393264 IUH393264 JED393264 JNZ393264 JXV393264 KHR393264 KRN393264 LBJ393264 LLF393264 LVB393264 MEX393264 MOT393264 MYP393264 NIL393264 NSH393264 OCD393264 OLZ393264 OVV393264 PFR393264 PPN393264 PZJ393264 QJF393264 QTB393264 RCX393264 RMT393264 RWP393264 SGL393264 SQH393264 TAD393264 TJZ393264 TTV393264 UDR393264 UNN393264 UXJ393264 VHF393264 VRB393264 WAX393264 WKT393264 WUP393264 C458800 ID458800 RZ458800 ABV458800 ALR458800 AVN458800 BFJ458800 BPF458800 BZB458800 CIX458800 CST458800 DCP458800 DML458800 DWH458800 EGD458800 EPZ458800 EZV458800 FJR458800 FTN458800 GDJ458800 GNF458800 GXB458800 HGX458800 HQT458800 IAP458800 IKL458800 IUH458800 JED458800 JNZ458800 JXV458800 KHR458800 KRN458800 LBJ458800 LLF458800 LVB458800 MEX458800 MOT458800 MYP458800 NIL458800 NSH458800 OCD458800 OLZ458800 OVV458800 PFR458800 PPN458800 PZJ458800 QJF458800 QTB458800 RCX458800 RMT458800 RWP458800 SGL458800 SQH458800 TAD458800 TJZ458800 TTV458800 UDR458800 UNN458800 UXJ458800 VHF458800 VRB458800 WAX458800 WKT458800 WUP458800 C524336 ID524336 RZ524336 ABV524336 ALR524336 AVN524336 BFJ524336 BPF524336 BZB524336 CIX524336 CST524336 DCP524336 DML524336 DWH524336 EGD524336 EPZ524336 EZV524336 FJR524336 FTN524336 GDJ524336 GNF524336 GXB524336 HGX524336 HQT524336 IAP524336 IKL524336 IUH524336 JED524336 JNZ524336 JXV524336 KHR524336 KRN524336 LBJ524336 LLF524336 LVB524336 MEX524336 MOT524336 MYP524336 NIL524336 NSH524336 OCD524336 OLZ524336 OVV524336 PFR524336 PPN524336 PZJ524336 QJF524336 QTB524336 RCX524336 RMT524336 RWP524336 SGL524336 SQH524336 TAD524336 TJZ524336 TTV524336 UDR524336 UNN524336 UXJ524336 VHF524336 VRB524336 WAX524336 WKT524336 WUP524336 C589872 ID589872 RZ589872 ABV589872 ALR589872 AVN589872 BFJ589872 BPF589872 BZB589872 CIX589872 CST589872 DCP589872 DML589872 DWH589872 EGD589872 EPZ589872 EZV589872 FJR589872 FTN589872 GDJ589872 GNF589872 GXB589872 HGX589872 HQT589872 IAP589872 IKL589872 IUH589872 JED589872 JNZ589872 JXV589872 KHR589872 KRN589872 LBJ589872 LLF589872 LVB589872 MEX589872 MOT589872 MYP589872 NIL589872 NSH589872 OCD589872 OLZ589872 OVV589872 PFR589872 PPN589872 PZJ589872 QJF589872 QTB589872 RCX589872 RMT589872 RWP589872 SGL589872 SQH589872 TAD589872 TJZ589872 TTV589872 UDR589872 UNN589872 UXJ589872 VHF589872 VRB589872 WAX589872 WKT589872 WUP589872 C655408 ID655408 RZ655408 ABV655408 ALR655408 AVN655408 BFJ655408 BPF655408 BZB655408 CIX655408 CST655408 DCP655408 DML655408 DWH655408 EGD655408 EPZ655408 EZV655408 FJR655408 FTN655408 GDJ655408 GNF655408 GXB655408 HGX655408 HQT655408 IAP655408 IKL655408 IUH655408 JED655408 JNZ655408 JXV655408 KHR655408 KRN655408 LBJ655408 LLF655408 LVB655408 MEX655408 MOT655408 MYP655408 NIL655408 NSH655408 OCD655408 OLZ655408 OVV655408 PFR655408 PPN655408 PZJ655408 QJF655408 QTB655408 RCX655408 RMT655408 RWP655408 SGL655408 SQH655408 TAD655408 TJZ655408 TTV655408 UDR655408 UNN655408 UXJ655408 VHF655408 VRB655408 WAX655408 WKT655408 WUP655408 C720944 ID720944 RZ720944 ABV720944 ALR720944 AVN720944 BFJ720944 BPF720944 BZB720944 CIX720944 CST720944 DCP720944 DML720944 DWH720944 EGD720944 EPZ720944 EZV720944 FJR720944 FTN720944 GDJ720944 GNF720944 GXB720944 HGX720944 HQT720944 IAP720944 IKL720944 IUH720944 JED720944 JNZ720944 JXV720944 KHR720944 KRN720944 LBJ720944 LLF720944 LVB720944 MEX720944 MOT720944 MYP720944 NIL720944 NSH720944 OCD720944 OLZ720944 OVV720944 PFR720944 PPN720944 PZJ720944 QJF720944 QTB720944 RCX720944 RMT720944 RWP720944 SGL720944 SQH720944 TAD720944 TJZ720944 TTV720944 UDR720944 UNN720944 UXJ720944 VHF720944 VRB720944 WAX720944 WKT720944 WUP720944 C786480 ID786480 RZ786480 ABV786480 ALR786480 AVN786480 BFJ786480 BPF786480 BZB786480 CIX786480 CST786480 DCP786480 DML786480 DWH786480 EGD786480 EPZ786480 EZV786480 FJR786480 FTN786480 GDJ786480 GNF786480 GXB786480 HGX786480 HQT786480 IAP786480 IKL786480 IUH786480 JED786480 JNZ786480 JXV786480 KHR786480 KRN786480 LBJ786480 LLF786480 LVB786480 MEX786480 MOT786480 MYP786480 NIL786480 NSH786480 OCD786480 OLZ786480 OVV786480 PFR786480 PPN786480 PZJ786480 QJF786480 QTB786480 RCX786480 RMT786480 RWP786480 SGL786480 SQH786480 TAD786480 TJZ786480 TTV786480 UDR786480 UNN786480 UXJ786480 VHF786480 VRB786480 WAX786480 WKT786480 WUP786480 C852016 ID852016 RZ852016 ABV852016 ALR852016 AVN852016 BFJ852016 BPF852016 BZB852016 CIX852016 CST852016 DCP852016 DML852016 DWH852016 EGD852016 EPZ852016 EZV852016 FJR852016 FTN852016 GDJ852016 GNF852016 GXB852016 HGX852016 HQT852016 IAP852016 IKL852016 IUH852016 JED852016 JNZ852016 JXV852016 KHR852016 KRN852016 LBJ852016 LLF852016 LVB852016 MEX852016 MOT852016 MYP852016 NIL852016 NSH852016 OCD852016 OLZ852016 OVV852016 PFR852016 PPN852016 PZJ852016 QJF852016 QTB852016 RCX852016 RMT852016 RWP852016 SGL852016 SQH852016 TAD852016 TJZ852016 TTV852016 UDR852016 UNN852016 UXJ852016 VHF852016 VRB852016 WAX852016 WKT852016 WUP852016 C917552 ID917552 RZ917552 ABV917552 ALR917552 AVN917552 BFJ917552 BPF917552 BZB917552 CIX917552 CST917552 DCP917552 DML917552 DWH917552 EGD917552 EPZ917552 EZV917552 FJR917552 FTN917552 GDJ917552 GNF917552 GXB917552 HGX917552 HQT917552 IAP917552 IKL917552 IUH917552 JED917552 JNZ917552 JXV917552 KHR917552 KRN917552 LBJ917552 LLF917552 LVB917552 MEX917552 MOT917552 MYP917552 NIL917552 NSH917552 OCD917552 OLZ917552 OVV917552 PFR917552 PPN917552 PZJ917552 QJF917552 QTB917552 RCX917552 RMT917552 RWP917552 SGL917552 SQH917552 TAD917552 TJZ917552 TTV917552 UDR917552 UNN917552 UXJ917552 VHF917552 VRB917552 WAX917552 WKT917552 WUP917552 C983088 ID983088 RZ983088 ABV983088 ALR983088 AVN983088 BFJ983088 BPF983088 BZB983088 CIX983088 CST983088 DCP983088 DML983088 DWH983088 EGD983088 EPZ983088 EZV983088 FJR983088 FTN983088 GDJ983088 GNF983088 GXB983088 HGX983088 HQT983088 IAP983088 IKL983088 IUH983088 JED983088 JNZ983088 JXV983088 KHR983088 KRN983088 LBJ983088 LLF983088 LVB983088 MEX983088 MOT983088 MYP983088 NIL983088 NSH983088 OCD983088 OLZ983088 OVV983088 PFR983088 PPN983088 PZJ983088 QJF983088 QTB983088 RCX983088 RMT983088 RWP983088 SGL983088 SQH983088 TAD983088 TJZ983088 TTV983088 UDR983088 UNN983088 UXJ983088 VHF983088 VRB983088 WAX983088 WKT983088 WUP983088 RZ15:RZ23 ID65533:ID65541 C65533:C65541 WKT15:WKT23 WAX15:WAX23 VRB15:VRB23 VHF15:VHF23 UXJ15:UXJ23 UNN15:UNN23 UDR15:UDR23 TTV15:TTV23 TJZ15:TJZ23 TAD15:TAD23 SQH15:SQH23 SGL15:SGL23 RWP15:RWP23 RMT15:RMT23 RCX15:RCX23 QTB15:QTB23 QJF15:QJF23 PZJ15:PZJ23 PPN15:PPN23 PFR15:PFR23 OVV15:OVV23 OLZ15:OLZ23 OCD15:OCD23 NSH15:NSH23 NIL15:NIL23 MYP15:MYP23 MOT15:MOT23 MEX15:MEX23 LVB15:LVB23 LLF15:LLF23 LBJ15:LBJ23 KRN15:KRN23 KHR15:KHR23 JXV15:JXV23 JNZ15:JNZ23 JED15:JED23 IUH15:IUH23 IKL15:IKL23 IAP15:IAP23 HQT15:HQT23 HGX15:HGX23 GXB15:GXB23 GNF15:GNF23 GDJ15:GDJ23 FTN15:FTN23 FJR15:FJR23 EZV15:EZV23 EPZ15:EPZ23 EGD15:EGD23 DWH15:DWH23 DML15:DML23 DCP15:DCP23 CST15:CST23 CIX15:CIX23 BZB15:BZB23 BPF15:BPF23 BFJ15:BFJ23 AVN15:AVN23 ALR15:ALR23 ABV15:ABV23 ID15:ID23 C65559:C65560 ID65559:ID65560 RZ65559:RZ65560 ABV65559:ABV65560 ALR65559:ALR65560 AVN65559:AVN65560 BFJ65559:BFJ65560 BPF65559:BPF65560 BZB65559:BZB65560 CIX65559:CIX65560 CST65559:CST65560 DCP65559:DCP65560 DML65559:DML65560 DWH65559:DWH65560 EGD65559:EGD65560 EPZ65559:EPZ65560 EZV65559:EZV65560 FJR65559:FJR65560 FTN65559:FTN65560 GDJ65559:GDJ65560 GNF65559:GNF65560 GXB65559:GXB65560 HGX65559:HGX65560 HQT65559:HQT65560 IAP65559:IAP65560 IKL65559:IKL65560 IUH65559:IUH65560 JED65559:JED65560 JNZ65559:JNZ65560 JXV65559:JXV65560 KHR65559:KHR65560 KRN65559:KRN65560 LBJ65559:LBJ65560 LLF65559:LLF65560 LVB65559:LVB65560 MEX65559:MEX65560 MOT65559:MOT65560 MYP65559:MYP65560 NIL65559:NIL65560 NSH65559:NSH65560 OCD65559:OCD65560 OLZ65559:OLZ65560 OVV65559:OVV65560 PFR65559:PFR65560 PPN65559:PPN65560 PZJ65559:PZJ65560 QJF65559:QJF65560 QTB65559:QTB65560 RCX65559:RCX65560 RMT65559:RMT65560 RWP65559:RWP65560 SGL65559:SGL65560 SQH65559:SQH65560 TAD65559:TAD65560 TJZ65559:TJZ65560 TTV65559:TTV65560 UDR65559:UDR65560 UNN65559:UNN65560 UXJ65559:UXJ65560 VHF65559:VHF65560 VRB65559:VRB65560 WAX65559:WAX65560 WKT65559:WKT65560 WUP65559:WUP65560 C131095:C131096 ID131095:ID131096 RZ131095:RZ131096 ABV131095:ABV131096 ALR131095:ALR131096 AVN131095:AVN131096 BFJ131095:BFJ131096 BPF131095:BPF131096 BZB131095:BZB131096 CIX131095:CIX131096 CST131095:CST131096 DCP131095:DCP131096 DML131095:DML131096 DWH131095:DWH131096 EGD131095:EGD131096 EPZ131095:EPZ131096 EZV131095:EZV131096 FJR131095:FJR131096 FTN131095:FTN131096 GDJ131095:GDJ131096 GNF131095:GNF131096 GXB131095:GXB131096 HGX131095:HGX131096 HQT131095:HQT131096 IAP131095:IAP131096 IKL131095:IKL131096 IUH131095:IUH131096 JED131095:JED131096 JNZ131095:JNZ131096 JXV131095:JXV131096 KHR131095:KHR131096 KRN131095:KRN131096 LBJ131095:LBJ131096 LLF131095:LLF131096 LVB131095:LVB131096 MEX131095:MEX131096 MOT131095:MOT131096 MYP131095:MYP131096 NIL131095:NIL131096 NSH131095:NSH131096 OCD131095:OCD131096 OLZ131095:OLZ131096 OVV131095:OVV131096 PFR131095:PFR131096 PPN131095:PPN131096 PZJ131095:PZJ131096 QJF131095:QJF131096 QTB131095:QTB131096 RCX131095:RCX131096 RMT131095:RMT131096 RWP131095:RWP131096 SGL131095:SGL131096 SQH131095:SQH131096 TAD131095:TAD131096 TJZ131095:TJZ131096 TTV131095:TTV131096 UDR131095:UDR131096 UNN131095:UNN131096 UXJ131095:UXJ131096 VHF131095:VHF131096 VRB131095:VRB131096 WAX131095:WAX131096 WKT131095:WKT131096 WUP131095:WUP131096 C196631:C196632 ID196631:ID196632 RZ196631:RZ196632 ABV196631:ABV196632 ALR196631:ALR196632 AVN196631:AVN196632 BFJ196631:BFJ196632 BPF196631:BPF196632 BZB196631:BZB196632 CIX196631:CIX196632 CST196631:CST196632 DCP196631:DCP196632 DML196631:DML196632 DWH196631:DWH196632 EGD196631:EGD196632 EPZ196631:EPZ196632 EZV196631:EZV196632 FJR196631:FJR196632 FTN196631:FTN196632 GDJ196631:GDJ196632 GNF196631:GNF196632 GXB196631:GXB196632 HGX196631:HGX196632 HQT196631:HQT196632 IAP196631:IAP196632 IKL196631:IKL196632 IUH196631:IUH196632 JED196631:JED196632 JNZ196631:JNZ196632 JXV196631:JXV196632 KHR196631:KHR196632 KRN196631:KRN196632 LBJ196631:LBJ196632 LLF196631:LLF196632 LVB196631:LVB196632 MEX196631:MEX196632 MOT196631:MOT196632 MYP196631:MYP196632 NIL196631:NIL196632 NSH196631:NSH196632 OCD196631:OCD196632 OLZ196631:OLZ196632 OVV196631:OVV196632 PFR196631:PFR196632 PPN196631:PPN196632 PZJ196631:PZJ196632 QJF196631:QJF196632 QTB196631:QTB196632 RCX196631:RCX196632 RMT196631:RMT196632 RWP196631:RWP196632 SGL196631:SGL196632 SQH196631:SQH196632 TAD196631:TAD196632 TJZ196631:TJZ196632 TTV196631:TTV196632 UDR196631:UDR196632 UNN196631:UNN196632 UXJ196631:UXJ196632 VHF196631:VHF196632 VRB196631:VRB196632 WAX196631:WAX196632 WKT196631:WKT196632 WUP196631:WUP196632 C262167:C262168 ID262167:ID262168 RZ262167:RZ262168 ABV262167:ABV262168 ALR262167:ALR262168 AVN262167:AVN262168 BFJ262167:BFJ262168 BPF262167:BPF262168 BZB262167:BZB262168 CIX262167:CIX262168 CST262167:CST262168 DCP262167:DCP262168 DML262167:DML262168 DWH262167:DWH262168 EGD262167:EGD262168 EPZ262167:EPZ262168 EZV262167:EZV262168 FJR262167:FJR262168 FTN262167:FTN262168 GDJ262167:GDJ262168 GNF262167:GNF262168 GXB262167:GXB262168 HGX262167:HGX262168 HQT262167:HQT262168 IAP262167:IAP262168 IKL262167:IKL262168 IUH262167:IUH262168 JED262167:JED262168 JNZ262167:JNZ262168 JXV262167:JXV262168 KHR262167:KHR262168 KRN262167:KRN262168 LBJ262167:LBJ262168 LLF262167:LLF262168 LVB262167:LVB262168 MEX262167:MEX262168 MOT262167:MOT262168 MYP262167:MYP262168 NIL262167:NIL262168 NSH262167:NSH262168 OCD262167:OCD262168 OLZ262167:OLZ262168 OVV262167:OVV262168 PFR262167:PFR262168 PPN262167:PPN262168 PZJ262167:PZJ262168 QJF262167:QJF262168 QTB262167:QTB262168 RCX262167:RCX262168 RMT262167:RMT262168 RWP262167:RWP262168 SGL262167:SGL262168 SQH262167:SQH262168 TAD262167:TAD262168 TJZ262167:TJZ262168 TTV262167:TTV262168 UDR262167:UDR262168 UNN262167:UNN262168 UXJ262167:UXJ262168 VHF262167:VHF262168 VRB262167:VRB262168 WAX262167:WAX262168 WKT262167:WKT262168 WUP262167:WUP262168 C327703:C327704 ID327703:ID327704 RZ327703:RZ327704 ABV327703:ABV327704 ALR327703:ALR327704 AVN327703:AVN327704 BFJ327703:BFJ327704 BPF327703:BPF327704 BZB327703:BZB327704 CIX327703:CIX327704 CST327703:CST327704 DCP327703:DCP327704 DML327703:DML327704 DWH327703:DWH327704 EGD327703:EGD327704 EPZ327703:EPZ327704 EZV327703:EZV327704 FJR327703:FJR327704 FTN327703:FTN327704 GDJ327703:GDJ327704 GNF327703:GNF327704 GXB327703:GXB327704 HGX327703:HGX327704 HQT327703:HQT327704 IAP327703:IAP327704 IKL327703:IKL327704 IUH327703:IUH327704 JED327703:JED327704 JNZ327703:JNZ327704 JXV327703:JXV327704 KHR327703:KHR327704 KRN327703:KRN327704 LBJ327703:LBJ327704 LLF327703:LLF327704 LVB327703:LVB327704 MEX327703:MEX327704 MOT327703:MOT327704 MYP327703:MYP327704 NIL327703:NIL327704 NSH327703:NSH327704 OCD327703:OCD327704 OLZ327703:OLZ327704 OVV327703:OVV327704 PFR327703:PFR327704 PPN327703:PPN327704 PZJ327703:PZJ327704 QJF327703:QJF327704 QTB327703:QTB327704 RCX327703:RCX327704 RMT327703:RMT327704 RWP327703:RWP327704 SGL327703:SGL327704 SQH327703:SQH327704 TAD327703:TAD327704 TJZ327703:TJZ327704 TTV327703:TTV327704 UDR327703:UDR327704 UNN327703:UNN327704 UXJ327703:UXJ327704 VHF327703:VHF327704 VRB327703:VRB327704 WAX327703:WAX327704 WKT327703:WKT327704 WUP327703:WUP327704 C393239:C393240 ID393239:ID393240 RZ393239:RZ393240 ABV393239:ABV393240 ALR393239:ALR393240 AVN393239:AVN393240 BFJ393239:BFJ393240 BPF393239:BPF393240 BZB393239:BZB393240 CIX393239:CIX393240 CST393239:CST393240 DCP393239:DCP393240 DML393239:DML393240 DWH393239:DWH393240 EGD393239:EGD393240 EPZ393239:EPZ393240 EZV393239:EZV393240 FJR393239:FJR393240 FTN393239:FTN393240 GDJ393239:GDJ393240 GNF393239:GNF393240 GXB393239:GXB393240 HGX393239:HGX393240 HQT393239:HQT393240 IAP393239:IAP393240 IKL393239:IKL393240 IUH393239:IUH393240 JED393239:JED393240 JNZ393239:JNZ393240 JXV393239:JXV393240 KHR393239:KHR393240 KRN393239:KRN393240 LBJ393239:LBJ393240 LLF393239:LLF393240 LVB393239:LVB393240 MEX393239:MEX393240 MOT393239:MOT393240 MYP393239:MYP393240 NIL393239:NIL393240 NSH393239:NSH393240 OCD393239:OCD393240 OLZ393239:OLZ393240 OVV393239:OVV393240 PFR393239:PFR393240 PPN393239:PPN393240 PZJ393239:PZJ393240 QJF393239:QJF393240 QTB393239:QTB393240 RCX393239:RCX393240 RMT393239:RMT393240 RWP393239:RWP393240 SGL393239:SGL393240 SQH393239:SQH393240 TAD393239:TAD393240 TJZ393239:TJZ393240 TTV393239:TTV393240 UDR393239:UDR393240 UNN393239:UNN393240 UXJ393239:UXJ393240 VHF393239:VHF393240 VRB393239:VRB393240 WAX393239:WAX393240 WKT393239:WKT393240 WUP393239:WUP393240 C458775:C458776 ID458775:ID458776 RZ458775:RZ458776 ABV458775:ABV458776 ALR458775:ALR458776 AVN458775:AVN458776 BFJ458775:BFJ458776 BPF458775:BPF458776 BZB458775:BZB458776 CIX458775:CIX458776 CST458775:CST458776 DCP458775:DCP458776 DML458775:DML458776 DWH458775:DWH458776 EGD458775:EGD458776 EPZ458775:EPZ458776 EZV458775:EZV458776 FJR458775:FJR458776 FTN458775:FTN458776 GDJ458775:GDJ458776 GNF458775:GNF458776 GXB458775:GXB458776 HGX458775:HGX458776 HQT458775:HQT458776 IAP458775:IAP458776 IKL458775:IKL458776 IUH458775:IUH458776 JED458775:JED458776 JNZ458775:JNZ458776 JXV458775:JXV458776 KHR458775:KHR458776 KRN458775:KRN458776 LBJ458775:LBJ458776 LLF458775:LLF458776 LVB458775:LVB458776 MEX458775:MEX458776 MOT458775:MOT458776 MYP458775:MYP458776 NIL458775:NIL458776 NSH458775:NSH458776 OCD458775:OCD458776 OLZ458775:OLZ458776 OVV458775:OVV458776 PFR458775:PFR458776 PPN458775:PPN458776 PZJ458775:PZJ458776 QJF458775:QJF458776 QTB458775:QTB458776 RCX458775:RCX458776 RMT458775:RMT458776 RWP458775:RWP458776 SGL458775:SGL458776 SQH458775:SQH458776 TAD458775:TAD458776 TJZ458775:TJZ458776 TTV458775:TTV458776 UDR458775:UDR458776 UNN458775:UNN458776 UXJ458775:UXJ458776 VHF458775:VHF458776 VRB458775:VRB458776 WAX458775:WAX458776 WKT458775:WKT458776 WUP458775:WUP458776 C524311:C524312 ID524311:ID524312 RZ524311:RZ524312 ABV524311:ABV524312 ALR524311:ALR524312 AVN524311:AVN524312 BFJ524311:BFJ524312 BPF524311:BPF524312 BZB524311:BZB524312 CIX524311:CIX524312 CST524311:CST524312 DCP524311:DCP524312 DML524311:DML524312 DWH524311:DWH524312 EGD524311:EGD524312 EPZ524311:EPZ524312 EZV524311:EZV524312 FJR524311:FJR524312 FTN524311:FTN524312 GDJ524311:GDJ524312 GNF524311:GNF524312 GXB524311:GXB524312 HGX524311:HGX524312 HQT524311:HQT524312 IAP524311:IAP524312 IKL524311:IKL524312 IUH524311:IUH524312 JED524311:JED524312 JNZ524311:JNZ524312 JXV524311:JXV524312 KHR524311:KHR524312 KRN524311:KRN524312 LBJ524311:LBJ524312 LLF524311:LLF524312 LVB524311:LVB524312 MEX524311:MEX524312 MOT524311:MOT524312 MYP524311:MYP524312 NIL524311:NIL524312 NSH524311:NSH524312 OCD524311:OCD524312 OLZ524311:OLZ524312 OVV524311:OVV524312 PFR524311:PFR524312 PPN524311:PPN524312 PZJ524311:PZJ524312 QJF524311:QJF524312 QTB524311:QTB524312 RCX524311:RCX524312 RMT524311:RMT524312 RWP524311:RWP524312 SGL524311:SGL524312 SQH524311:SQH524312 TAD524311:TAD524312 TJZ524311:TJZ524312 TTV524311:TTV524312 UDR524311:UDR524312 UNN524311:UNN524312 UXJ524311:UXJ524312 VHF524311:VHF524312 VRB524311:VRB524312 WAX524311:WAX524312 WKT524311:WKT524312 WUP524311:WUP524312 C589847:C589848 ID589847:ID589848 RZ589847:RZ589848 ABV589847:ABV589848 ALR589847:ALR589848 AVN589847:AVN589848 BFJ589847:BFJ589848 BPF589847:BPF589848 BZB589847:BZB589848 CIX589847:CIX589848 CST589847:CST589848 DCP589847:DCP589848 DML589847:DML589848 DWH589847:DWH589848 EGD589847:EGD589848 EPZ589847:EPZ589848 EZV589847:EZV589848 FJR589847:FJR589848 FTN589847:FTN589848 GDJ589847:GDJ589848 GNF589847:GNF589848 GXB589847:GXB589848 HGX589847:HGX589848 HQT589847:HQT589848 IAP589847:IAP589848 IKL589847:IKL589848 IUH589847:IUH589848 JED589847:JED589848 JNZ589847:JNZ589848 JXV589847:JXV589848 KHR589847:KHR589848 KRN589847:KRN589848 LBJ589847:LBJ589848 LLF589847:LLF589848 LVB589847:LVB589848 MEX589847:MEX589848 MOT589847:MOT589848 MYP589847:MYP589848 NIL589847:NIL589848 NSH589847:NSH589848 OCD589847:OCD589848 OLZ589847:OLZ589848 OVV589847:OVV589848 PFR589847:PFR589848 PPN589847:PPN589848 PZJ589847:PZJ589848 QJF589847:QJF589848 QTB589847:QTB589848 RCX589847:RCX589848 RMT589847:RMT589848 RWP589847:RWP589848 SGL589847:SGL589848 SQH589847:SQH589848 TAD589847:TAD589848 TJZ589847:TJZ589848 TTV589847:TTV589848 UDR589847:UDR589848 UNN589847:UNN589848 UXJ589847:UXJ589848 VHF589847:VHF589848 VRB589847:VRB589848 WAX589847:WAX589848 WKT589847:WKT589848 WUP589847:WUP589848 C655383:C655384 ID655383:ID655384 RZ655383:RZ655384 ABV655383:ABV655384 ALR655383:ALR655384 AVN655383:AVN655384 BFJ655383:BFJ655384 BPF655383:BPF655384 BZB655383:BZB655384 CIX655383:CIX655384 CST655383:CST655384 DCP655383:DCP655384 DML655383:DML655384 DWH655383:DWH655384 EGD655383:EGD655384 EPZ655383:EPZ655384 EZV655383:EZV655384 FJR655383:FJR655384 FTN655383:FTN655384 GDJ655383:GDJ655384 GNF655383:GNF655384 GXB655383:GXB655384 HGX655383:HGX655384 HQT655383:HQT655384 IAP655383:IAP655384 IKL655383:IKL655384 IUH655383:IUH655384 JED655383:JED655384 JNZ655383:JNZ655384 JXV655383:JXV655384 KHR655383:KHR655384 KRN655383:KRN655384 LBJ655383:LBJ655384 LLF655383:LLF655384 LVB655383:LVB655384 MEX655383:MEX655384 MOT655383:MOT655384 MYP655383:MYP655384 NIL655383:NIL655384 NSH655383:NSH655384 OCD655383:OCD655384 OLZ655383:OLZ655384 OVV655383:OVV655384 PFR655383:PFR655384 PPN655383:PPN655384 PZJ655383:PZJ655384 QJF655383:QJF655384 QTB655383:QTB655384 RCX655383:RCX655384 RMT655383:RMT655384 RWP655383:RWP655384 SGL655383:SGL655384 SQH655383:SQH655384 TAD655383:TAD655384 TJZ655383:TJZ655384 TTV655383:TTV655384 UDR655383:UDR655384 UNN655383:UNN655384 UXJ655383:UXJ655384 VHF655383:VHF655384 VRB655383:VRB655384 WAX655383:WAX655384 WKT655383:WKT655384 WUP655383:WUP655384 C720919:C720920 ID720919:ID720920 RZ720919:RZ720920 ABV720919:ABV720920 ALR720919:ALR720920 AVN720919:AVN720920 BFJ720919:BFJ720920 BPF720919:BPF720920 BZB720919:BZB720920 CIX720919:CIX720920 CST720919:CST720920 DCP720919:DCP720920 DML720919:DML720920 DWH720919:DWH720920 EGD720919:EGD720920 EPZ720919:EPZ720920 EZV720919:EZV720920 FJR720919:FJR720920 FTN720919:FTN720920 GDJ720919:GDJ720920 GNF720919:GNF720920 GXB720919:GXB720920 HGX720919:HGX720920 HQT720919:HQT720920 IAP720919:IAP720920 IKL720919:IKL720920 IUH720919:IUH720920 JED720919:JED720920 JNZ720919:JNZ720920 JXV720919:JXV720920 KHR720919:KHR720920 KRN720919:KRN720920 LBJ720919:LBJ720920 LLF720919:LLF720920 LVB720919:LVB720920 MEX720919:MEX720920 MOT720919:MOT720920 MYP720919:MYP720920 NIL720919:NIL720920 NSH720919:NSH720920 OCD720919:OCD720920 OLZ720919:OLZ720920 OVV720919:OVV720920 PFR720919:PFR720920 PPN720919:PPN720920 PZJ720919:PZJ720920 QJF720919:QJF720920 QTB720919:QTB720920 RCX720919:RCX720920 RMT720919:RMT720920 RWP720919:RWP720920 SGL720919:SGL720920 SQH720919:SQH720920 TAD720919:TAD720920 TJZ720919:TJZ720920 TTV720919:TTV720920 UDR720919:UDR720920 UNN720919:UNN720920 UXJ720919:UXJ720920 VHF720919:VHF720920 VRB720919:VRB720920 WAX720919:WAX720920 WKT720919:WKT720920 WUP720919:WUP720920 C786455:C786456 ID786455:ID786456 RZ786455:RZ786456 ABV786455:ABV786456 ALR786455:ALR786456 AVN786455:AVN786456 BFJ786455:BFJ786456 BPF786455:BPF786456 BZB786455:BZB786456 CIX786455:CIX786456 CST786455:CST786456 DCP786455:DCP786456 DML786455:DML786456 DWH786455:DWH786456 EGD786455:EGD786456 EPZ786455:EPZ786456 EZV786455:EZV786456 FJR786455:FJR786456 FTN786455:FTN786456 GDJ786455:GDJ786456 GNF786455:GNF786456 GXB786455:GXB786456 HGX786455:HGX786456 HQT786455:HQT786456 IAP786455:IAP786456 IKL786455:IKL786456 IUH786455:IUH786456 JED786455:JED786456 JNZ786455:JNZ786456 JXV786455:JXV786456 KHR786455:KHR786456 KRN786455:KRN786456 LBJ786455:LBJ786456 LLF786455:LLF786456 LVB786455:LVB786456 MEX786455:MEX786456 MOT786455:MOT786456 MYP786455:MYP786456 NIL786455:NIL786456 NSH786455:NSH786456 OCD786455:OCD786456 OLZ786455:OLZ786456 OVV786455:OVV786456 PFR786455:PFR786456 PPN786455:PPN786456 PZJ786455:PZJ786456 QJF786455:QJF786456 QTB786455:QTB786456 RCX786455:RCX786456 RMT786455:RMT786456 RWP786455:RWP786456 SGL786455:SGL786456 SQH786455:SQH786456 TAD786455:TAD786456 TJZ786455:TJZ786456 TTV786455:TTV786456 UDR786455:UDR786456 UNN786455:UNN786456 UXJ786455:UXJ786456 VHF786455:VHF786456 VRB786455:VRB786456 WAX786455:WAX786456 WKT786455:WKT786456 WUP786455:WUP786456 C851991:C851992 ID851991:ID851992 RZ851991:RZ851992 ABV851991:ABV851992 ALR851991:ALR851992 AVN851991:AVN851992 BFJ851991:BFJ851992 BPF851991:BPF851992 BZB851991:BZB851992 CIX851991:CIX851992 CST851991:CST851992 DCP851991:DCP851992 DML851991:DML851992 DWH851991:DWH851992 EGD851991:EGD851992 EPZ851991:EPZ851992 EZV851991:EZV851992 FJR851991:FJR851992 FTN851991:FTN851992 GDJ851991:GDJ851992 GNF851991:GNF851992 GXB851991:GXB851992 HGX851991:HGX851992 HQT851991:HQT851992 IAP851991:IAP851992 IKL851991:IKL851992 IUH851991:IUH851992 JED851991:JED851992 JNZ851991:JNZ851992 JXV851991:JXV851992 KHR851991:KHR851992 KRN851991:KRN851992 LBJ851991:LBJ851992 LLF851991:LLF851992 LVB851991:LVB851992 MEX851991:MEX851992 MOT851991:MOT851992 MYP851991:MYP851992 NIL851991:NIL851992 NSH851991:NSH851992 OCD851991:OCD851992 OLZ851991:OLZ851992 OVV851991:OVV851992 PFR851991:PFR851992 PPN851991:PPN851992 PZJ851991:PZJ851992 QJF851991:QJF851992 QTB851991:QTB851992 RCX851991:RCX851992 RMT851991:RMT851992 RWP851991:RWP851992 SGL851991:SGL851992 SQH851991:SQH851992 TAD851991:TAD851992 TJZ851991:TJZ851992 TTV851991:TTV851992 UDR851991:UDR851992 UNN851991:UNN851992 UXJ851991:UXJ851992 VHF851991:VHF851992 VRB851991:VRB851992 WAX851991:WAX851992 WKT851991:WKT851992 WUP851991:WUP851992 C917527:C917528 ID917527:ID917528 RZ917527:RZ917528 ABV917527:ABV917528 ALR917527:ALR917528 AVN917527:AVN917528 BFJ917527:BFJ917528 BPF917527:BPF917528 BZB917527:BZB917528 CIX917527:CIX917528 CST917527:CST917528 DCP917527:DCP917528 DML917527:DML917528 DWH917527:DWH917528 EGD917527:EGD917528 EPZ917527:EPZ917528 EZV917527:EZV917528 FJR917527:FJR917528 FTN917527:FTN917528 GDJ917527:GDJ917528 GNF917527:GNF917528 GXB917527:GXB917528 HGX917527:HGX917528 HQT917527:HQT917528 IAP917527:IAP917528 IKL917527:IKL917528 IUH917527:IUH917528 JED917527:JED917528 JNZ917527:JNZ917528 JXV917527:JXV917528 KHR917527:KHR917528 KRN917527:KRN917528 LBJ917527:LBJ917528 LLF917527:LLF917528 LVB917527:LVB917528 MEX917527:MEX917528 MOT917527:MOT917528 MYP917527:MYP917528 NIL917527:NIL917528 NSH917527:NSH917528 OCD917527:OCD917528 OLZ917527:OLZ917528 OVV917527:OVV917528 PFR917527:PFR917528 PPN917527:PPN917528 PZJ917527:PZJ917528 QJF917527:QJF917528 QTB917527:QTB917528 RCX917527:RCX917528 RMT917527:RMT917528 RWP917527:RWP917528 SGL917527:SGL917528 SQH917527:SQH917528 TAD917527:TAD917528 TJZ917527:TJZ917528 TTV917527:TTV917528 UDR917527:UDR917528 UNN917527:UNN917528 UXJ917527:UXJ917528 VHF917527:VHF917528 VRB917527:VRB917528 WAX917527:WAX917528 WKT917527:WKT917528 WUP917527:WUP917528 C983063:C983064 ID983063:ID983064 RZ983063:RZ983064 ABV983063:ABV983064 ALR983063:ALR983064 AVN983063:AVN983064 BFJ983063:BFJ983064 BPF983063:BPF983064 BZB983063:BZB983064 CIX983063:CIX983064 CST983063:CST983064 DCP983063:DCP983064 DML983063:DML983064 DWH983063:DWH983064 EGD983063:EGD983064 EPZ983063:EPZ983064 EZV983063:EZV983064 FJR983063:FJR983064 FTN983063:FTN983064 GDJ983063:GDJ983064 GNF983063:GNF983064 GXB983063:GXB983064 HGX983063:HGX983064 HQT983063:HQT983064 IAP983063:IAP983064 IKL983063:IKL983064 IUH983063:IUH983064 JED983063:JED983064 JNZ983063:JNZ983064 JXV983063:JXV983064 KHR983063:KHR983064 KRN983063:KRN983064 LBJ983063:LBJ983064 LLF983063:LLF983064 LVB983063:LVB983064 MEX983063:MEX983064 MOT983063:MOT983064 MYP983063:MYP983064 NIL983063:NIL983064 NSH983063:NSH983064 OCD983063:OCD983064 OLZ983063:OLZ983064 OVV983063:OVV983064 PFR983063:PFR983064 PPN983063:PPN983064 PZJ983063:PZJ983064 QJF983063:QJF983064 QTB983063:QTB983064 RCX983063:RCX983064 RMT983063:RMT983064 RWP983063:RWP983064 SGL983063:SGL983064 SQH983063:SQH983064 TAD983063:TAD983064 TJZ983063:TJZ983064 TTV983063:TTV983064 UDR983063:UDR983064 UNN983063:UNN983064 UXJ983063:UXJ983064 VHF983063:VHF983064 VRB983063:VRB983064 WAX983063:WAX983064 WKT983063:WKT983064 WUP15:WUP23 WVA983022:WVA983032 WLE983022:WLE983032 WBI983022:WBI983032 VRM983022:VRM983032 VHQ983022:VHQ983032 UXU983022:UXU983032 UNY983022:UNY983032 UEC983022:UEC983032 TUG983022:TUG983032 TKK983022:TKK983032 TAO983022:TAO983032 SQS983022:SQS983032 SGW983022:SGW983032 RXA983022:RXA983032 RNE983022:RNE983032 RDI983022:RDI983032 QTM983022:QTM983032 QJQ983022:QJQ983032 PZU983022:PZU983032 PPY983022:PPY983032 PGC983022:PGC983032 OWG983022:OWG983032 OMK983022:OMK983032 OCO983022:OCO983032 NSS983022:NSS983032 NIW983022:NIW983032 MZA983022:MZA983032 MPE983022:MPE983032 MFI983022:MFI983032 LVM983022:LVM983032 LLQ983022:LLQ983032 LBU983022:LBU983032 KRY983022:KRY983032 KIC983022:KIC983032 JYG983022:JYG983032 JOK983022:JOK983032 JEO983022:JEO983032 IUS983022:IUS983032 IKW983022:IKW983032 IBA983022:IBA983032 HRE983022:HRE983032 HHI983022:HHI983032 GXM983022:GXM983032 GNQ983022:GNQ983032 GDU983022:GDU983032 FTY983022:FTY983032 FKC983022:FKC983032 FAG983022:FAG983032 EQK983022:EQK983032 EGO983022:EGO983032 DWS983022:DWS983032 DMW983022:DMW983032 DDA983022:DDA983032 CTE983022:CTE983032 CJI983022:CJI983032 BZM983022:BZM983032 BPQ983022:BPQ983032 BFU983022:BFU983032 AVY983022:AVY983032 AMC983022:AMC983032 ACG983022:ACG983032 SK983022:SK983032 IO983022:IO983032 WVA917486:WVA917496 WLE917486:WLE917496 WBI917486:WBI917496 VRM917486:VRM917496 VHQ917486:VHQ917496 UXU917486:UXU917496 UNY917486:UNY917496 UEC917486:UEC917496 TUG917486:TUG917496 TKK917486:TKK917496 TAO917486:TAO917496 SQS917486:SQS917496 SGW917486:SGW917496 RXA917486:RXA917496 RNE917486:RNE917496 RDI917486:RDI917496 QTM917486:QTM917496 QJQ917486:QJQ917496 PZU917486:PZU917496 PPY917486:PPY917496 PGC917486:PGC917496 OWG917486:OWG917496 OMK917486:OMK917496 OCO917486:OCO917496 NSS917486:NSS917496 NIW917486:NIW917496 MZA917486:MZA917496 MPE917486:MPE917496 MFI917486:MFI917496 LVM917486:LVM917496 LLQ917486:LLQ917496 LBU917486:LBU917496 KRY917486:KRY917496 KIC917486:KIC917496 JYG917486:JYG917496 JOK917486:JOK917496 JEO917486:JEO917496 IUS917486:IUS917496 IKW917486:IKW917496 IBA917486:IBA917496 HRE917486:HRE917496 HHI917486:HHI917496 GXM917486:GXM917496 GNQ917486:GNQ917496 GDU917486:GDU917496 FTY917486:FTY917496 FKC917486:FKC917496 FAG917486:FAG917496 EQK917486:EQK917496 EGO917486:EGO917496 DWS917486:DWS917496 DMW917486:DMW917496 DDA917486:DDA917496 CTE917486:CTE917496 CJI917486:CJI917496 BZM917486:BZM917496 BPQ917486:BPQ917496 BFU917486:BFU917496 AVY917486:AVY917496 AMC917486:AMC917496 ACG917486:ACG917496 SK917486:SK917496 IO917486:IO917496 WVA851950:WVA851960 WLE851950:WLE851960 WBI851950:WBI851960 VRM851950:VRM851960 VHQ851950:VHQ851960 UXU851950:UXU851960 UNY851950:UNY851960 UEC851950:UEC851960 TUG851950:TUG851960 TKK851950:TKK851960 TAO851950:TAO851960 SQS851950:SQS851960 SGW851950:SGW851960 RXA851950:RXA851960 RNE851950:RNE851960 RDI851950:RDI851960 QTM851950:QTM851960 QJQ851950:QJQ851960 PZU851950:PZU851960 PPY851950:PPY851960 PGC851950:PGC851960 OWG851950:OWG851960 OMK851950:OMK851960 OCO851950:OCO851960 NSS851950:NSS851960 NIW851950:NIW851960 MZA851950:MZA851960 MPE851950:MPE851960 MFI851950:MFI851960 LVM851950:LVM851960 LLQ851950:LLQ851960 LBU851950:LBU851960 KRY851950:KRY851960 KIC851950:KIC851960 JYG851950:JYG851960 JOK851950:JOK851960 JEO851950:JEO851960 IUS851950:IUS851960 IKW851950:IKW851960 IBA851950:IBA851960 HRE851950:HRE851960 HHI851950:HHI851960 GXM851950:GXM851960 GNQ851950:GNQ851960 GDU851950:GDU851960 FTY851950:FTY851960 FKC851950:FKC851960 FAG851950:FAG851960 EQK851950:EQK851960 EGO851950:EGO851960 DWS851950:DWS851960 DMW851950:DMW851960 DDA851950:DDA851960 CTE851950:CTE851960 CJI851950:CJI851960 BZM851950:BZM851960 BPQ851950:BPQ851960 BFU851950:BFU851960 AVY851950:AVY851960 AMC851950:AMC851960 ACG851950:ACG851960 SK851950:SK851960 IO851950:IO851960 WVA786414:WVA786424 WLE786414:WLE786424 WBI786414:WBI786424 VRM786414:VRM786424 VHQ786414:VHQ786424 UXU786414:UXU786424 UNY786414:UNY786424 UEC786414:UEC786424 TUG786414:TUG786424 TKK786414:TKK786424 TAO786414:TAO786424 SQS786414:SQS786424 SGW786414:SGW786424 RXA786414:RXA786424 RNE786414:RNE786424 RDI786414:RDI786424 QTM786414:QTM786424 QJQ786414:QJQ786424 PZU786414:PZU786424 PPY786414:PPY786424 PGC786414:PGC786424 OWG786414:OWG786424 OMK786414:OMK786424 OCO786414:OCO786424 NSS786414:NSS786424 NIW786414:NIW786424 MZA786414:MZA786424 MPE786414:MPE786424 MFI786414:MFI786424 LVM786414:LVM786424 LLQ786414:LLQ786424 LBU786414:LBU786424 KRY786414:KRY786424 KIC786414:KIC786424 JYG786414:JYG786424 JOK786414:JOK786424 JEO786414:JEO786424 IUS786414:IUS786424 IKW786414:IKW786424 IBA786414:IBA786424 HRE786414:HRE786424 HHI786414:HHI786424 GXM786414:GXM786424 GNQ786414:GNQ786424 GDU786414:GDU786424 FTY786414:FTY786424 FKC786414:FKC786424 FAG786414:FAG786424 EQK786414:EQK786424 EGO786414:EGO786424 DWS786414:DWS786424 DMW786414:DMW786424 DDA786414:DDA786424 CTE786414:CTE786424 CJI786414:CJI786424 BZM786414:BZM786424 BPQ786414:BPQ786424 BFU786414:BFU786424 AVY786414:AVY786424 AMC786414:AMC786424 ACG786414:ACG786424 SK786414:SK786424 IO786414:IO786424 WVA720878:WVA720888 WLE720878:WLE720888 WBI720878:WBI720888 VRM720878:VRM720888 VHQ720878:VHQ720888 UXU720878:UXU720888 UNY720878:UNY720888 UEC720878:UEC720888 TUG720878:TUG720888 TKK720878:TKK720888 TAO720878:TAO720888 SQS720878:SQS720888 SGW720878:SGW720888 RXA720878:RXA720888 RNE720878:RNE720888 RDI720878:RDI720888 QTM720878:QTM720888 QJQ720878:QJQ720888 PZU720878:PZU720888 PPY720878:PPY720888 PGC720878:PGC720888 OWG720878:OWG720888 OMK720878:OMK720888 OCO720878:OCO720888 NSS720878:NSS720888 NIW720878:NIW720888 MZA720878:MZA720888 MPE720878:MPE720888 MFI720878:MFI720888 LVM720878:LVM720888 LLQ720878:LLQ720888 LBU720878:LBU720888 KRY720878:KRY720888 KIC720878:KIC720888 JYG720878:JYG720888 JOK720878:JOK720888 JEO720878:JEO720888 IUS720878:IUS720888 IKW720878:IKW720888 IBA720878:IBA720888 HRE720878:HRE720888 HHI720878:HHI720888 GXM720878:GXM720888 GNQ720878:GNQ720888 GDU720878:GDU720888 FTY720878:FTY720888 FKC720878:FKC720888 FAG720878:FAG720888 EQK720878:EQK720888 EGO720878:EGO720888 DWS720878:DWS720888 DMW720878:DMW720888 DDA720878:DDA720888 CTE720878:CTE720888 CJI720878:CJI720888 BZM720878:BZM720888 BPQ720878:BPQ720888 BFU720878:BFU720888 AVY720878:AVY720888 AMC720878:AMC720888 ACG720878:ACG720888 SK720878:SK720888 IO720878:IO720888 WVA655342:WVA655352 WLE655342:WLE655352 WBI655342:WBI655352 VRM655342:VRM655352 VHQ655342:VHQ655352 UXU655342:UXU655352 UNY655342:UNY655352 UEC655342:UEC655352 TUG655342:TUG655352 TKK655342:TKK655352 TAO655342:TAO655352 SQS655342:SQS655352 SGW655342:SGW655352 RXA655342:RXA655352 RNE655342:RNE655352 RDI655342:RDI655352 QTM655342:QTM655352 QJQ655342:QJQ655352 PZU655342:PZU655352 PPY655342:PPY655352 PGC655342:PGC655352 OWG655342:OWG655352 OMK655342:OMK655352 OCO655342:OCO655352 NSS655342:NSS655352 NIW655342:NIW655352 MZA655342:MZA655352 MPE655342:MPE655352 MFI655342:MFI655352 LVM655342:LVM655352 LLQ655342:LLQ655352 LBU655342:LBU655352 KRY655342:KRY655352 KIC655342:KIC655352 JYG655342:JYG655352 JOK655342:JOK655352 JEO655342:JEO655352 IUS655342:IUS655352 IKW655342:IKW655352 IBA655342:IBA655352 HRE655342:HRE655352 HHI655342:HHI655352 GXM655342:GXM655352 GNQ655342:GNQ655352 GDU655342:GDU655352 FTY655342:FTY655352 FKC655342:FKC655352 FAG655342:FAG655352 EQK655342:EQK655352 EGO655342:EGO655352 DWS655342:DWS655352 DMW655342:DMW655352 DDA655342:DDA655352 CTE655342:CTE655352 CJI655342:CJI655352 BZM655342:BZM655352 BPQ655342:BPQ655352 BFU655342:BFU655352 AVY655342:AVY655352 AMC655342:AMC655352 ACG655342:ACG655352 SK655342:SK655352 IO655342:IO655352 WVA589806:WVA589816 WLE589806:WLE589816 WBI589806:WBI589816 VRM589806:VRM589816 VHQ589806:VHQ589816 UXU589806:UXU589816 UNY589806:UNY589816 UEC589806:UEC589816 TUG589806:TUG589816 TKK589806:TKK589816 TAO589806:TAO589816 SQS589806:SQS589816 SGW589806:SGW589816 RXA589806:RXA589816 RNE589806:RNE589816 RDI589806:RDI589816 QTM589806:QTM589816 QJQ589806:QJQ589816 PZU589806:PZU589816 PPY589806:PPY589816 PGC589806:PGC589816 OWG589806:OWG589816 OMK589806:OMK589816 OCO589806:OCO589816 NSS589806:NSS589816 NIW589806:NIW589816 MZA589806:MZA589816 MPE589806:MPE589816 MFI589806:MFI589816 LVM589806:LVM589816 LLQ589806:LLQ589816 LBU589806:LBU589816 KRY589806:KRY589816 KIC589806:KIC589816 JYG589806:JYG589816 JOK589806:JOK589816 JEO589806:JEO589816 IUS589806:IUS589816 IKW589806:IKW589816 IBA589806:IBA589816 HRE589806:HRE589816 HHI589806:HHI589816 GXM589806:GXM589816 GNQ589806:GNQ589816 GDU589806:GDU589816 FTY589806:FTY589816 FKC589806:FKC589816 FAG589806:FAG589816 EQK589806:EQK589816 EGO589806:EGO589816 DWS589806:DWS589816 DMW589806:DMW589816 DDA589806:DDA589816 CTE589806:CTE589816 CJI589806:CJI589816 BZM589806:BZM589816 BPQ589806:BPQ589816 BFU589806:BFU589816 AVY589806:AVY589816 AMC589806:AMC589816 ACG589806:ACG589816 SK589806:SK589816 IO589806:IO589816 WVA524270:WVA524280 WLE524270:WLE524280 WBI524270:WBI524280 VRM524270:VRM524280 VHQ524270:VHQ524280 UXU524270:UXU524280 UNY524270:UNY524280 UEC524270:UEC524280 TUG524270:TUG524280 TKK524270:TKK524280 TAO524270:TAO524280 SQS524270:SQS524280 SGW524270:SGW524280 RXA524270:RXA524280 RNE524270:RNE524280 RDI524270:RDI524280 QTM524270:QTM524280 QJQ524270:QJQ524280 PZU524270:PZU524280 PPY524270:PPY524280 PGC524270:PGC524280 OWG524270:OWG524280 OMK524270:OMK524280 OCO524270:OCO524280 NSS524270:NSS524280 NIW524270:NIW524280 MZA524270:MZA524280 MPE524270:MPE524280 MFI524270:MFI524280 LVM524270:LVM524280 LLQ524270:LLQ524280 LBU524270:LBU524280 KRY524270:KRY524280 KIC524270:KIC524280 JYG524270:JYG524280 JOK524270:JOK524280 JEO524270:JEO524280 IUS524270:IUS524280 IKW524270:IKW524280 IBA524270:IBA524280 HRE524270:HRE524280 HHI524270:HHI524280 GXM524270:GXM524280 GNQ524270:GNQ524280 GDU524270:GDU524280 FTY524270:FTY524280 FKC524270:FKC524280 FAG524270:FAG524280 EQK524270:EQK524280 EGO524270:EGO524280 DWS524270:DWS524280 DMW524270:DMW524280 DDA524270:DDA524280 CTE524270:CTE524280 CJI524270:CJI524280 BZM524270:BZM524280 BPQ524270:BPQ524280 BFU524270:BFU524280 AVY524270:AVY524280 AMC524270:AMC524280 ACG524270:ACG524280 SK524270:SK524280 IO524270:IO524280 WVA458734:WVA458744 WLE458734:WLE458744 WBI458734:WBI458744 VRM458734:VRM458744 VHQ458734:VHQ458744 UXU458734:UXU458744 UNY458734:UNY458744 UEC458734:UEC458744 TUG458734:TUG458744 TKK458734:TKK458744 TAO458734:TAO458744 SQS458734:SQS458744 SGW458734:SGW458744 RXA458734:RXA458744 RNE458734:RNE458744 RDI458734:RDI458744 QTM458734:QTM458744 QJQ458734:QJQ458744 PZU458734:PZU458744 PPY458734:PPY458744 PGC458734:PGC458744 OWG458734:OWG458744 OMK458734:OMK458744 OCO458734:OCO458744 NSS458734:NSS458744 NIW458734:NIW458744 MZA458734:MZA458744 MPE458734:MPE458744 MFI458734:MFI458744 LVM458734:LVM458744 LLQ458734:LLQ458744 LBU458734:LBU458744 KRY458734:KRY458744 KIC458734:KIC458744 JYG458734:JYG458744 JOK458734:JOK458744 JEO458734:JEO458744 IUS458734:IUS458744 IKW458734:IKW458744 IBA458734:IBA458744 HRE458734:HRE458744 HHI458734:HHI458744 GXM458734:GXM458744 GNQ458734:GNQ458744 GDU458734:GDU458744 FTY458734:FTY458744 FKC458734:FKC458744 FAG458734:FAG458744 EQK458734:EQK458744 EGO458734:EGO458744 DWS458734:DWS458744 DMW458734:DMW458744 DDA458734:DDA458744 CTE458734:CTE458744 CJI458734:CJI458744 BZM458734:BZM458744 BPQ458734:BPQ458744 BFU458734:BFU458744 AVY458734:AVY458744 AMC458734:AMC458744 ACG458734:ACG458744 SK458734:SK458744 IO458734:IO458744 WVA393198:WVA393208 WLE393198:WLE393208 WBI393198:WBI393208 VRM393198:VRM393208 VHQ393198:VHQ393208 UXU393198:UXU393208 UNY393198:UNY393208 UEC393198:UEC393208 TUG393198:TUG393208 TKK393198:TKK393208 TAO393198:TAO393208 SQS393198:SQS393208 SGW393198:SGW393208 RXA393198:RXA393208 RNE393198:RNE393208 RDI393198:RDI393208 QTM393198:QTM393208 QJQ393198:QJQ393208 PZU393198:PZU393208 PPY393198:PPY393208 PGC393198:PGC393208 OWG393198:OWG393208 OMK393198:OMK393208 OCO393198:OCO393208 NSS393198:NSS393208 NIW393198:NIW393208 MZA393198:MZA393208 MPE393198:MPE393208 MFI393198:MFI393208 LVM393198:LVM393208 LLQ393198:LLQ393208 LBU393198:LBU393208 KRY393198:KRY393208 KIC393198:KIC393208 JYG393198:JYG393208 JOK393198:JOK393208 JEO393198:JEO393208 IUS393198:IUS393208 IKW393198:IKW393208 IBA393198:IBA393208 HRE393198:HRE393208 HHI393198:HHI393208 GXM393198:GXM393208 GNQ393198:GNQ393208 GDU393198:GDU393208 FTY393198:FTY393208 FKC393198:FKC393208 FAG393198:FAG393208 EQK393198:EQK393208 EGO393198:EGO393208 DWS393198:DWS393208 DMW393198:DMW393208 DDA393198:DDA393208 CTE393198:CTE393208 CJI393198:CJI393208 BZM393198:BZM393208 BPQ393198:BPQ393208 BFU393198:BFU393208 AVY393198:AVY393208 AMC393198:AMC393208 ACG393198:ACG393208 SK393198:SK393208 IO393198:IO393208 WVA327662:WVA327672 WLE327662:WLE327672 WBI327662:WBI327672 VRM327662:VRM327672 VHQ327662:VHQ327672 UXU327662:UXU327672 UNY327662:UNY327672 UEC327662:UEC327672 TUG327662:TUG327672 TKK327662:TKK327672 TAO327662:TAO327672 SQS327662:SQS327672 SGW327662:SGW327672 RXA327662:RXA327672 RNE327662:RNE327672 RDI327662:RDI327672 QTM327662:QTM327672 QJQ327662:QJQ327672 PZU327662:PZU327672 PPY327662:PPY327672 PGC327662:PGC327672 OWG327662:OWG327672 OMK327662:OMK327672 OCO327662:OCO327672 NSS327662:NSS327672 NIW327662:NIW327672 MZA327662:MZA327672 MPE327662:MPE327672 MFI327662:MFI327672 LVM327662:LVM327672 LLQ327662:LLQ327672 LBU327662:LBU327672 KRY327662:KRY327672 KIC327662:KIC327672 JYG327662:JYG327672 JOK327662:JOK327672 JEO327662:JEO327672 IUS327662:IUS327672 IKW327662:IKW327672 IBA327662:IBA327672 HRE327662:HRE327672 HHI327662:HHI327672 GXM327662:GXM327672 GNQ327662:GNQ327672 GDU327662:GDU327672 FTY327662:FTY327672 FKC327662:FKC327672 FAG327662:FAG327672 EQK327662:EQK327672 EGO327662:EGO327672 DWS327662:DWS327672 DMW327662:DMW327672 DDA327662:DDA327672 CTE327662:CTE327672 CJI327662:CJI327672 BZM327662:BZM327672 BPQ327662:BPQ327672 BFU327662:BFU327672 AVY327662:AVY327672 AMC327662:AMC327672 ACG327662:ACG327672 SK327662:SK327672 IO327662:IO327672 WVA262126:WVA262136 WLE262126:WLE262136 WBI262126:WBI262136 VRM262126:VRM262136 VHQ262126:VHQ262136 UXU262126:UXU262136 UNY262126:UNY262136 UEC262126:UEC262136 TUG262126:TUG262136 TKK262126:TKK262136 TAO262126:TAO262136 SQS262126:SQS262136 SGW262126:SGW262136 RXA262126:RXA262136 RNE262126:RNE262136 RDI262126:RDI262136 QTM262126:QTM262136 QJQ262126:QJQ262136 PZU262126:PZU262136 PPY262126:PPY262136 PGC262126:PGC262136 OWG262126:OWG262136 OMK262126:OMK262136 OCO262126:OCO262136 NSS262126:NSS262136 NIW262126:NIW262136 MZA262126:MZA262136 MPE262126:MPE262136 MFI262126:MFI262136 LVM262126:LVM262136 LLQ262126:LLQ262136 LBU262126:LBU262136 KRY262126:KRY262136 KIC262126:KIC262136 JYG262126:JYG262136 JOK262126:JOK262136 JEO262126:JEO262136 IUS262126:IUS262136 IKW262126:IKW262136 IBA262126:IBA262136 HRE262126:HRE262136 HHI262126:HHI262136 GXM262126:GXM262136 GNQ262126:GNQ262136 GDU262126:GDU262136 FTY262126:FTY262136 FKC262126:FKC262136 FAG262126:FAG262136 EQK262126:EQK262136 EGO262126:EGO262136 DWS262126:DWS262136 DMW262126:DMW262136 DDA262126:DDA262136 CTE262126:CTE262136 CJI262126:CJI262136 BZM262126:BZM262136 BPQ262126:BPQ262136 BFU262126:BFU262136 AVY262126:AVY262136 AMC262126:AMC262136 ACG262126:ACG262136 SK262126:SK262136 IO262126:IO262136 WVA196590:WVA196600 WLE196590:WLE196600 WBI196590:WBI196600 VRM196590:VRM196600 VHQ196590:VHQ196600 UXU196590:UXU196600 UNY196590:UNY196600 UEC196590:UEC196600 TUG196590:TUG196600 TKK196590:TKK196600 TAO196590:TAO196600 SQS196590:SQS196600 SGW196590:SGW196600 RXA196590:RXA196600 RNE196590:RNE196600 RDI196590:RDI196600 QTM196590:QTM196600 QJQ196590:QJQ196600 PZU196590:PZU196600 PPY196590:PPY196600 PGC196590:PGC196600 OWG196590:OWG196600 OMK196590:OMK196600 OCO196590:OCO196600 NSS196590:NSS196600 NIW196590:NIW196600 MZA196590:MZA196600 MPE196590:MPE196600 MFI196590:MFI196600 LVM196590:LVM196600 LLQ196590:LLQ196600 LBU196590:LBU196600 KRY196590:KRY196600 KIC196590:KIC196600 JYG196590:JYG196600 JOK196590:JOK196600 JEO196590:JEO196600 IUS196590:IUS196600 IKW196590:IKW196600 IBA196590:IBA196600 HRE196590:HRE196600 HHI196590:HHI196600 GXM196590:GXM196600 GNQ196590:GNQ196600 GDU196590:GDU196600 FTY196590:FTY196600 FKC196590:FKC196600 FAG196590:FAG196600 EQK196590:EQK196600 EGO196590:EGO196600 DWS196590:DWS196600 DMW196590:DMW196600 DDA196590:DDA196600 CTE196590:CTE196600 CJI196590:CJI196600 BZM196590:BZM196600 BPQ196590:BPQ196600 BFU196590:BFU196600 AVY196590:AVY196600 AMC196590:AMC196600 ACG196590:ACG196600 SK196590:SK196600 IO196590:IO196600 WVA131054:WVA131064 WLE131054:WLE131064 WBI131054:WBI131064 VRM131054:VRM131064 VHQ131054:VHQ131064 UXU131054:UXU131064 UNY131054:UNY131064 UEC131054:UEC131064 TUG131054:TUG131064 TKK131054:TKK131064 TAO131054:TAO131064 SQS131054:SQS131064 SGW131054:SGW131064 RXA131054:RXA131064 RNE131054:RNE131064 RDI131054:RDI131064 QTM131054:QTM131064 QJQ131054:QJQ131064 PZU131054:PZU131064 PPY131054:PPY131064 PGC131054:PGC131064 OWG131054:OWG131064 OMK131054:OMK131064 OCO131054:OCO131064 NSS131054:NSS131064 NIW131054:NIW131064 MZA131054:MZA131064 MPE131054:MPE131064 MFI131054:MFI131064 LVM131054:LVM131064 LLQ131054:LLQ131064 LBU131054:LBU131064 KRY131054:KRY131064 KIC131054:KIC131064 JYG131054:JYG131064 JOK131054:JOK131064 JEO131054:JEO131064 IUS131054:IUS131064 IKW131054:IKW131064 IBA131054:IBA131064 HRE131054:HRE131064 HHI131054:HHI131064 GXM131054:GXM131064 GNQ131054:GNQ131064 GDU131054:GDU131064 FTY131054:FTY131064 FKC131054:FKC131064 FAG131054:FAG131064 EQK131054:EQK131064 EGO131054:EGO131064 DWS131054:DWS131064 DMW131054:DMW131064 DDA131054:DDA131064 CTE131054:CTE131064 CJI131054:CJI131064 BZM131054:BZM131064 BPQ131054:BPQ131064 BFU131054:BFU131064 AVY131054:AVY131064 AMC131054:AMC131064 ACG131054:ACG131064 SK131054:SK131064 IO131054:IO131064 WVA65518:WVA65528 WLE65518:WLE65528 WBI65518:WBI65528 VRM65518:VRM65528 VHQ65518:VHQ65528 UXU65518:UXU65528 UNY65518:UNY65528 UEC65518:UEC65528 TUG65518:TUG65528 TKK65518:TKK65528 TAO65518:TAO65528 SQS65518:SQS65528 SGW65518:SGW65528 RXA65518:RXA65528 RNE65518:RNE65528 RDI65518:RDI65528 QTM65518:QTM65528 QJQ65518:QJQ65528 PZU65518:PZU65528 PPY65518:PPY65528 PGC65518:PGC65528 OWG65518:OWG65528 OMK65518:OMK65528 OCO65518:OCO65528 NSS65518:NSS65528 NIW65518:NIW65528 MZA65518:MZA65528 MPE65518:MPE65528 MFI65518:MFI65528 LVM65518:LVM65528 LLQ65518:LLQ65528 LBU65518:LBU65528 KRY65518:KRY65528 KIC65518:KIC65528 JYG65518:JYG65528 JOK65518:JOK65528 JEO65518:JEO65528 IUS65518:IUS65528 IKW65518:IKW65528 IBA65518:IBA65528 HRE65518:HRE65528 HHI65518:HHI65528 GXM65518:GXM65528 GNQ65518:GNQ65528 GDU65518:GDU65528 FTY65518:FTY65528 FKC65518:FKC65528 FAG65518:FAG65528 EQK65518:EQK65528 EGO65518:EGO65528 DWS65518:DWS65528 DMW65518:DMW65528 DDA65518:DDA65528 CTE65518:CTE65528 CJI65518:CJI65528 BZM65518:BZM65528 BPQ65518:BPQ65528 BFU65518:BFU65528 AVY65518:AVY65528 AMC65518:AMC65528 ACG65518:ACG65528 SK65518:SK65528 IO65518:IO65528 WUP983037:WUP983045 WKT983037:WKT983045 WAX983037:WAX983045 VRB983037:VRB983045 VHF983037:VHF983045 UXJ983037:UXJ983045 UNN983037:UNN983045 UDR983037:UDR983045 TTV983037:TTV983045 TJZ983037:TJZ983045 TAD983037:TAD983045 SQH983037:SQH983045 SGL983037:SGL983045 RWP983037:RWP983045 RMT983037:RMT983045 RCX983037:RCX983045 QTB983037:QTB983045 QJF983037:QJF983045 PZJ983037:PZJ983045 PPN983037:PPN983045 PFR983037:PFR983045 OVV983037:OVV983045 OLZ983037:OLZ983045 OCD983037:OCD983045 NSH983037:NSH983045 NIL983037:NIL983045 MYP983037:MYP983045 MOT983037:MOT983045 MEX983037:MEX983045 LVB983037:LVB983045 LLF983037:LLF983045 LBJ983037:LBJ983045 KRN983037:KRN983045 KHR983037:KHR983045 JXV983037:JXV983045 JNZ983037:JNZ983045 JED983037:JED983045 IUH983037:IUH983045 IKL983037:IKL983045 IAP983037:IAP983045 HQT983037:HQT983045 HGX983037:HGX983045 GXB983037:GXB983045 GNF983037:GNF983045 GDJ983037:GDJ983045 FTN983037:FTN983045 FJR983037:FJR983045 EZV983037:EZV983045 EPZ983037:EPZ983045 EGD983037:EGD983045 DWH983037:DWH983045 DML983037:DML983045 DCP983037:DCP983045 CST983037:CST983045 CIX983037:CIX983045 BZB983037:BZB983045 BPF983037:BPF983045 BFJ983037:BFJ983045 AVN983037:AVN983045 ALR983037:ALR983045 ABV983037:ABV983045 RZ983037:RZ983045 ID983037:ID983045 C983037:C983045 WUP917501:WUP917509 WKT917501:WKT917509 WAX917501:WAX917509 VRB917501:VRB917509 VHF917501:VHF917509 UXJ917501:UXJ917509 UNN917501:UNN917509 UDR917501:UDR917509 TTV917501:TTV917509 TJZ917501:TJZ917509 TAD917501:TAD917509 SQH917501:SQH917509 SGL917501:SGL917509 RWP917501:RWP917509 RMT917501:RMT917509 RCX917501:RCX917509 QTB917501:QTB917509 QJF917501:QJF917509 PZJ917501:PZJ917509 PPN917501:PPN917509 PFR917501:PFR917509 OVV917501:OVV917509 OLZ917501:OLZ917509 OCD917501:OCD917509 NSH917501:NSH917509 NIL917501:NIL917509 MYP917501:MYP917509 MOT917501:MOT917509 MEX917501:MEX917509 LVB917501:LVB917509 LLF917501:LLF917509 LBJ917501:LBJ917509 KRN917501:KRN917509 KHR917501:KHR917509 JXV917501:JXV917509 JNZ917501:JNZ917509 JED917501:JED917509 IUH917501:IUH917509 IKL917501:IKL917509 IAP917501:IAP917509 HQT917501:HQT917509 HGX917501:HGX917509 GXB917501:GXB917509 GNF917501:GNF917509 GDJ917501:GDJ917509 FTN917501:FTN917509 FJR917501:FJR917509 EZV917501:EZV917509 EPZ917501:EPZ917509 EGD917501:EGD917509 DWH917501:DWH917509 DML917501:DML917509 DCP917501:DCP917509 CST917501:CST917509 CIX917501:CIX917509 BZB917501:BZB917509 BPF917501:BPF917509 BFJ917501:BFJ917509 AVN917501:AVN917509 ALR917501:ALR917509 ABV917501:ABV917509 RZ917501:RZ917509 ID917501:ID917509 C917501:C917509 WUP851965:WUP851973 WKT851965:WKT851973 WAX851965:WAX851973 VRB851965:VRB851973 VHF851965:VHF851973 UXJ851965:UXJ851973 UNN851965:UNN851973 UDR851965:UDR851973 TTV851965:TTV851973 TJZ851965:TJZ851973 TAD851965:TAD851973 SQH851965:SQH851973 SGL851965:SGL851973 RWP851965:RWP851973 RMT851965:RMT851973 RCX851965:RCX851973 QTB851965:QTB851973 QJF851965:QJF851973 PZJ851965:PZJ851973 PPN851965:PPN851973 PFR851965:PFR851973 OVV851965:OVV851973 OLZ851965:OLZ851973 OCD851965:OCD851973 NSH851965:NSH851973 NIL851965:NIL851973 MYP851965:MYP851973 MOT851965:MOT851973 MEX851965:MEX851973 LVB851965:LVB851973 LLF851965:LLF851973 LBJ851965:LBJ851973 KRN851965:KRN851973 KHR851965:KHR851973 JXV851965:JXV851973 JNZ851965:JNZ851973 JED851965:JED851973 IUH851965:IUH851973 IKL851965:IKL851973 IAP851965:IAP851973 HQT851965:HQT851973 HGX851965:HGX851973 GXB851965:GXB851973 GNF851965:GNF851973 GDJ851965:GDJ851973 FTN851965:FTN851973 FJR851965:FJR851973 EZV851965:EZV851973 EPZ851965:EPZ851973 EGD851965:EGD851973 DWH851965:DWH851973 DML851965:DML851973 DCP851965:DCP851973 CST851965:CST851973 CIX851965:CIX851973 BZB851965:BZB851973 BPF851965:BPF851973 BFJ851965:BFJ851973 AVN851965:AVN851973 ALR851965:ALR851973 ABV851965:ABV851973 RZ851965:RZ851973 ID851965:ID851973 C851965:C851973 WUP786429:WUP786437 WKT786429:WKT786437 WAX786429:WAX786437 VRB786429:VRB786437 VHF786429:VHF786437 UXJ786429:UXJ786437 UNN786429:UNN786437 UDR786429:UDR786437 TTV786429:TTV786437 TJZ786429:TJZ786437 TAD786429:TAD786437 SQH786429:SQH786437 SGL786429:SGL786437 RWP786429:RWP786437 RMT786429:RMT786437 RCX786429:RCX786437 QTB786429:QTB786437 QJF786429:QJF786437 PZJ786429:PZJ786437 PPN786429:PPN786437 PFR786429:PFR786437 OVV786429:OVV786437 OLZ786429:OLZ786437 OCD786429:OCD786437 NSH786429:NSH786437 NIL786429:NIL786437 MYP786429:MYP786437 MOT786429:MOT786437 MEX786429:MEX786437 LVB786429:LVB786437 LLF786429:LLF786437 LBJ786429:LBJ786437 KRN786429:KRN786437 KHR786429:KHR786437 JXV786429:JXV786437 JNZ786429:JNZ786437 JED786429:JED786437 IUH786429:IUH786437 IKL786429:IKL786437 IAP786429:IAP786437 HQT786429:HQT786437 HGX786429:HGX786437 GXB786429:GXB786437 GNF786429:GNF786437 GDJ786429:GDJ786437 FTN786429:FTN786437 FJR786429:FJR786437 EZV786429:EZV786437 EPZ786429:EPZ786437 EGD786429:EGD786437 DWH786429:DWH786437 DML786429:DML786437 DCP786429:DCP786437 CST786429:CST786437 CIX786429:CIX786437 BZB786429:BZB786437 BPF786429:BPF786437 BFJ786429:BFJ786437 AVN786429:AVN786437 ALR786429:ALR786437 ABV786429:ABV786437 RZ786429:RZ786437 ID786429:ID786437 C786429:C786437 WUP720893:WUP720901 WKT720893:WKT720901 WAX720893:WAX720901 VRB720893:VRB720901 VHF720893:VHF720901 UXJ720893:UXJ720901 UNN720893:UNN720901 UDR720893:UDR720901 TTV720893:TTV720901 TJZ720893:TJZ720901 TAD720893:TAD720901 SQH720893:SQH720901 SGL720893:SGL720901 RWP720893:RWP720901 RMT720893:RMT720901 RCX720893:RCX720901 QTB720893:QTB720901 QJF720893:QJF720901 PZJ720893:PZJ720901 PPN720893:PPN720901 PFR720893:PFR720901 OVV720893:OVV720901 OLZ720893:OLZ720901 OCD720893:OCD720901 NSH720893:NSH720901 NIL720893:NIL720901 MYP720893:MYP720901 MOT720893:MOT720901 MEX720893:MEX720901 LVB720893:LVB720901 LLF720893:LLF720901 LBJ720893:LBJ720901 KRN720893:KRN720901 KHR720893:KHR720901 JXV720893:JXV720901 JNZ720893:JNZ720901 JED720893:JED720901 IUH720893:IUH720901 IKL720893:IKL720901 IAP720893:IAP720901 HQT720893:HQT720901 HGX720893:HGX720901 GXB720893:GXB720901 GNF720893:GNF720901 GDJ720893:GDJ720901 FTN720893:FTN720901 FJR720893:FJR720901 EZV720893:EZV720901 EPZ720893:EPZ720901 EGD720893:EGD720901 DWH720893:DWH720901 DML720893:DML720901 DCP720893:DCP720901 CST720893:CST720901 CIX720893:CIX720901 BZB720893:BZB720901 BPF720893:BPF720901 BFJ720893:BFJ720901 AVN720893:AVN720901 ALR720893:ALR720901 ABV720893:ABV720901 RZ720893:RZ720901 ID720893:ID720901 C720893:C720901 WUP655357:WUP655365 WKT655357:WKT655365 WAX655357:WAX655365 VRB655357:VRB655365 VHF655357:VHF655365 UXJ655357:UXJ655365 UNN655357:UNN655365 UDR655357:UDR655365 TTV655357:TTV655365 TJZ655357:TJZ655365 TAD655357:TAD655365 SQH655357:SQH655365 SGL655357:SGL655365 RWP655357:RWP655365 RMT655357:RMT655365 RCX655357:RCX655365 QTB655357:QTB655365 QJF655357:QJF655365 PZJ655357:PZJ655365 PPN655357:PPN655365 PFR655357:PFR655365 OVV655357:OVV655365 OLZ655357:OLZ655365 OCD655357:OCD655365 NSH655357:NSH655365 NIL655357:NIL655365 MYP655357:MYP655365 MOT655357:MOT655365 MEX655357:MEX655365 LVB655357:LVB655365 LLF655357:LLF655365 LBJ655357:LBJ655365 KRN655357:KRN655365 KHR655357:KHR655365 JXV655357:JXV655365 JNZ655357:JNZ655365 JED655357:JED655365 IUH655357:IUH655365 IKL655357:IKL655365 IAP655357:IAP655365 HQT655357:HQT655365 HGX655357:HGX655365 GXB655357:GXB655365 GNF655357:GNF655365 GDJ655357:GDJ655365 FTN655357:FTN655365 FJR655357:FJR655365 EZV655357:EZV655365 EPZ655357:EPZ655365 EGD655357:EGD655365 DWH655357:DWH655365 DML655357:DML655365 DCP655357:DCP655365 CST655357:CST655365 CIX655357:CIX655365 BZB655357:BZB655365 BPF655357:BPF655365 BFJ655357:BFJ655365 AVN655357:AVN655365 ALR655357:ALR655365 ABV655357:ABV655365 RZ655357:RZ655365 ID655357:ID655365 C655357:C655365 WUP589821:WUP589829 WKT589821:WKT589829 WAX589821:WAX589829 VRB589821:VRB589829 VHF589821:VHF589829 UXJ589821:UXJ589829 UNN589821:UNN589829 UDR589821:UDR589829 TTV589821:TTV589829 TJZ589821:TJZ589829 TAD589821:TAD589829 SQH589821:SQH589829 SGL589821:SGL589829 RWP589821:RWP589829 RMT589821:RMT589829 RCX589821:RCX589829 QTB589821:QTB589829 QJF589821:QJF589829 PZJ589821:PZJ589829 PPN589821:PPN589829 PFR589821:PFR589829 OVV589821:OVV589829 OLZ589821:OLZ589829 OCD589821:OCD589829 NSH589821:NSH589829 NIL589821:NIL589829 MYP589821:MYP589829 MOT589821:MOT589829 MEX589821:MEX589829 LVB589821:LVB589829 LLF589821:LLF589829 LBJ589821:LBJ589829 KRN589821:KRN589829 KHR589821:KHR589829 JXV589821:JXV589829 JNZ589821:JNZ589829 JED589821:JED589829 IUH589821:IUH589829 IKL589821:IKL589829 IAP589821:IAP589829 HQT589821:HQT589829 HGX589821:HGX589829 GXB589821:GXB589829 GNF589821:GNF589829 GDJ589821:GDJ589829 FTN589821:FTN589829 FJR589821:FJR589829 EZV589821:EZV589829 EPZ589821:EPZ589829 EGD589821:EGD589829 DWH589821:DWH589829 DML589821:DML589829 DCP589821:DCP589829 CST589821:CST589829 CIX589821:CIX589829 BZB589821:BZB589829 BPF589821:BPF589829 BFJ589821:BFJ589829 AVN589821:AVN589829 ALR589821:ALR589829 ABV589821:ABV589829 RZ589821:RZ589829 ID589821:ID589829 C589821:C589829 WUP524285:WUP524293 WKT524285:WKT524293 WAX524285:WAX524293 VRB524285:VRB524293 VHF524285:VHF524293 UXJ524285:UXJ524293 UNN524285:UNN524293 UDR524285:UDR524293 TTV524285:TTV524293 TJZ524285:TJZ524293 TAD524285:TAD524293 SQH524285:SQH524293 SGL524285:SGL524293 RWP524285:RWP524293 RMT524285:RMT524293 RCX524285:RCX524293 QTB524285:QTB524293 QJF524285:QJF524293 PZJ524285:PZJ524293 PPN524285:PPN524293 PFR524285:PFR524293 OVV524285:OVV524293 OLZ524285:OLZ524293 OCD524285:OCD524293 NSH524285:NSH524293 NIL524285:NIL524293 MYP524285:MYP524293 MOT524285:MOT524293 MEX524285:MEX524293 LVB524285:LVB524293 LLF524285:LLF524293 LBJ524285:LBJ524293 KRN524285:KRN524293 KHR524285:KHR524293 JXV524285:JXV524293 JNZ524285:JNZ524293 JED524285:JED524293 IUH524285:IUH524293 IKL524285:IKL524293 IAP524285:IAP524293 HQT524285:HQT524293 HGX524285:HGX524293 GXB524285:GXB524293 GNF524285:GNF524293 GDJ524285:GDJ524293 FTN524285:FTN524293 FJR524285:FJR524293 EZV524285:EZV524293 EPZ524285:EPZ524293 EGD524285:EGD524293 DWH524285:DWH524293 DML524285:DML524293 DCP524285:DCP524293 CST524285:CST524293 CIX524285:CIX524293 BZB524285:BZB524293 BPF524285:BPF524293 BFJ524285:BFJ524293 AVN524285:AVN524293 ALR524285:ALR524293 ABV524285:ABV524293 RZ524285:RZ524293 ID524285:ID524293 C524285:C524293 WUP458749:WUP458757 WKT458749:WKT458757 WAX458749:WAX458757 VRB458749:VRB458757 VHF458749:VHF458757 UXJ458749:UXJ458757 UNN458749:UNN458757 UDR458749:UDR458757 TTV458749:TTV458757 TJZ458749:TJZ458757 TAD458749:TAD458757 SQH458749:SQH458757 SGL458749:SGL458757 RWP458749:RWP458757 RMT458749:RMT458757 RCX458749:RCX458757 QTB458749:QTB458757 QJF458749:QJF458757 PZJ458749:PZJ458757 PPN458749:PPN458757 PFR458749:PFR458757 OVV458749:OVV458757 OLZ458749:OLZ458757 OCD458749:OCD458757 NSH458749:NSH458757 NIL458749:NIL458757 MYP458749:MYP458757 MOT458749:MOT458757 MEX458749:MEX458757 LVB458749:LVB458757 LLF458749:LLF458757 LBJ458749:LBJ458757 KRN458749:KRN458757 KHR458749:KHR458757 JXV458749:JXV458757 JNZ458749:JNZ458757 JED458749:JED458757 IUH458749:IUH458757 IKL458749:IKL458757 IAP458749:IAP458757 HQT458749:HQT458757 HGX458749:HGX458757 GXB458749:GXB458757 GNF458749:GNF458757 GDJ458749:GDJ458757 FTN458749:FTN458757 FJR458749:FJR458757 EZV458749:EZV458757 EPZ458749:EPZ458757 EGD458749:EGD458757 DWH458749:DWH458757 DML458749:DML458757 DCP458749:DCP458757 CST458749:CST458757 CIX458749:CIX458757 BZB458749:BZB458757 BPF458749:BPF458757 BFJ458749:BFJ458757 AVN458749:AVN458757 ALR458749:ALR458757 ABV458749:ABV458757 RZ458749:RZ458757 ID458749:ID458757 C458749:C458757 WUP393213:WUP393221 WKT393213:WKT393221 WAX393213:WAX393221 VRB393213:VRB393221 VHF393213:VHF393221 UXJ393213:UXJ393221 UNN393213:UNN393221 UDR393213:UDR393221 TTV393213:TTV393221 TJZ393213:TJZ393221 TAD393213:TAD393221 SQH393213:SQH393221 SGL393213:SGL393221 RWP393213:RWP393221 RMT393213:RMT393221 RCX393213:RCX393221 QTB393213:QTB393221 QJF393213:QJF393221 PZJ393213:PZJ393221 PPN393213:PPN393221 PFR393213:PFR393221 OVV393213:OVV393221 OLZ393213:OLZ393221 OCD393213:OCD393221 NSH393213:NSH393221 NIL393213:NIL393221 MYP393213:MYP393221 MOT393213:MOT393221 MEX393213:MEX393221 LVB393213:LVB393221 LLF393213:LLF393221 LBJ393213:LBJ393221 KRN393213:KRN393221 KHR393213:KHR393221 JXV393213:JXV393221 JNZ393213:JNZ393221 JED393213:JED393221 IUH393213:IUH393221 IKL393213:IKL393221 IAP393213:IAP393221 HQT393213:HQT393221 HGX393213:HGX393221 GXB393213:GXB393221 GNF393213:GNF393221 GDJ393213:GDJ393221 FTN393213:FTN393221 FJR393213:FJR393221 EZV393213:EZV393221 EPZ393213:EPZ393221 EGD393213:EGD393221 DWH393213:DWH393221 DML393213:DML393221 DCP393213:DCP393221 CST393213:CST393221 CIX393213:CIX393221 BZB393213:BZB393221 BPF393213:BPF393221 BFJ393213:BFJ393221 AVN393213:AVN393221 ALR393213:ALR393221 ABV393213:ABV393221 RZ393213:RZ393221 ID393213:ID393221 C393213:C393221 WUP327677:WUP327685 WKT327677:WKT327685 WAX327677:WAX327685 VRB327677:VRB327685 VHF327677:VHF327685 UXJ327677:UXJ327685 UNN327677:UNN327685 UDR327677:UDR327685 TTV327677:TTV327685 TJZ327677:TJZ327685 TAD327677:TAD327685 SQH327677:SQH327685 SGL327677:SGL327685 RWP327677:RWP327685 RMT327677:RMT327685 RCX327677:RCX327685 QTB327677:QTB327685 QJF327677:QJF327685 PZJ327677:PZJ327685 PPN327677:PPN327685 PFR327677:PFR327685 OVV327677:OVV327685 OLZ327677:OLZ327685 OCD327677:OCD327685 NSH327677:NSH327685 NIL327677:NIL327685 MYP327677:MYP327685 MOT327677:MOT327685 MEX327677:MEX327685 LVB327677:LVB327685 LLF327677:LLF327685 LBJ327677:LBJ327685 KRN327677:KRN327685 KHR327677:KHR327685 JXV327677:JXV327685 JNZ327677:JNZ327685 JED327677:JED327685 IUH327677:IUH327685 IKL327677:IKL327685 IAP327677:IAP327685 HQT327677:HQT327685 HGX327677:HGX327685 GXB327677:GXB327685 GNF327677:GNF327685 GDJ327677:GDJ327685 FTN327677:FTN327685 FJR327677:FJR327685 EZV327677:EZV327685 EPZ327677:EPZ327685 EGD327677:EGD327685 DWH327677:DWH327685 DML327677:DML327685 DCP327677:DCP327685 CST327677:CST327685 CIX327677:CIX327685 BZB327677:BZB327685 BPF327677:BPF327685 BFJ327677:BFJ327685 AVN327677:AVN327685 ALR327677:ALR327685 ABV327677:ABV327685 RZ327677:RZ327685 ID327677:ID327685 C327677:C327685 WUP262141:WUP262149 WKT262141:WKT262149 WAX262141:WAX262149 VRB262141:VRB262149 VHF262141:VHF262149 UXJ262141:UXJ262149 UNN262141:UNN262149 UDR262141:UDR262149 TTV262141:TTV262149 TJZ262141:TJZ262149 TAD262141:TAD262149 SQH262141:SQH262149 SGL262141:SGL262149 RWP262141:RWP262149 RMT262141:RMT262149 RCX262141:RCX262149 QTB262141:QTB262149 QJF262141:QJF262149 PZJ262141:PZJ262149 PPN262141:PPN262149 PFR262141:PFR262149 OVV262141:OVV262149 OLZ262141:OLZ262149 OCD262141:OCD262149 NSH262141:NSH262149 NIL262141:NIL262149 MYP262141:MYP262149 MOT262141:MOT262149 MEX262141:MEX262149 LVB262141:LVB262149 LLF262141:LLF262149 LBJ262141:LBJ262149 KRN262141:KRN262149 KHR262141:KHR262149 JXV262141:JXV262149 JNZ262141:JNZ262149 JED262141:JED262149 IUH262141:IUH262149 IKL262141:IKL262149 IAP262141:IAP262149 HQT262141:HQT262149 HGX262141:HGX262149 GXB262141:GXB262149 GNF262141:GNF262149 GDJ262141:GDJ262149 FTN262141:FTN262149 FJR262141:FJR262149 EZV262141:EZV262149 EPZ262141:EPZ262149 EGD262141:EGD262149 DWH262141:DWH262149 DML262141:DML262149 DCP262141:DCP262149 CST262141:CST262149 CIX262141:CIX262149 BZB262141:BZB262149 BPF262141:BPF262149 BFJ262141:BFJ262149 AVN262141:AVN262149 ALR262141:ALR262149 ABV262141:ABV262149 RZ262141:RZ262149 ID262141:ID262149 C262141:C262149 WUP196605:WUP196613 WKT196605:WKT196613 WAX196605:WAX196613 VRB196605:VRB196613 VHF196605:VHF196613 UXJ196605:UXJ196613 UNN196605:UNN196613 UDR196605:UDR196613 TTV196605:TTV196613 TJZ196605:TJZ196613 TAD196605:TAD196613 SQH196605:SQH196613 SGL196605:SGL196613 RWP196605:RWP196613 RMT196605:RMT196613 RCX196605:RCX196613 QTB196605:QTB196613 QJF196605:QJF196613 PZJ196605:PZJ196613 PPN196605:PPN196613 PFR196605:PFR196613 OVV196605:OVV196613 OLZ196605:OLZ196613 OCD196605:OCD196613 NSH196605:NSH196613 NIL196605:NIL196613 MYP196605:MYP196613 MOT196605:MOT196613 MEX196605:MEX196613 LVB196605:LVB196613 LLF196605:LLF196613 LBJ196605:LBJ196613 KRN196605:KRN196613 KHR196605:KHR196613 JXV196605:JXV196613 JNZ196605:JNZ196613 JED196605:JED196613 IUH196605:IUH196613 IKL196605:IKL196613 IAP196605:IAP196613 HQT196605:HQT196613 HGX196605:HGX196613 GXB196605:GXB196613 GNF196605:GNF196613 GDJ196605:GDJ196613 FTN196605:FTN196613 FJR196605:FJR196613 EZV196605:EZV196613 EPZ196605:EPZ196613 EGD196605:EGD196613 DWH196605:DWH196613 DML196605:DML196613 DCP196605:DCP196613 CST196605:CST196613 CIX196605:CIX196613 BZB196605:BZB196613 BPF196605:BPF196613 BFJ196605:BFJ196613 AVN196605:AVN196613 ALR196605:ALR196613 ABV196605:ABV196613 RZ196605:RZ196613 ID196605:ID196613 C196605:C196613 WUP131069:WUP131077 WKT131069:WKT131077 WAX131069:WAX131077 VRB131069:VRB131077 VHF131069:VHF131077 UXJ131069:UXJ131077 UNN131069:UNN131077 UDR131069:UDR131077 TTV131069:TTV131077 TJZ131069:TJZ131077 TAD131069:TAD131077 SQH131069:SQH131077 SGL131069:SGL131077 RWP131069:RWP131077 RMT131069:RMT131077 RCX131069:RCX131077 QTB131069:QTB131077 QJF131069:QJF131077 PZJ131069:PZJ131077 PPN131069:PPN131077 PFR131069:PFR131077 OVV131069:OVV131077 OLZ131069:OLZ131077 OCD131069:OCD131077 NSH131069:NSH131077 NIL131069:NIL131077 MYP131069:MYP131077 MOT131069:MOT131077 MEX131069:MEX131077 LVB131069:LVB131077 LLF131069:LLF131077 LBJ131069:LBJ131077 KRN131069:KRN131077 KHR131069:KHR131077 JXV131069:JXV131077 JNZ131069:JNZ131077 JED131069:JED131077 IUH131069:IUH131077 IKL131069:IKL131077 IAP131069:IAP131077 HQT131069:HQT131077 HGX131069:HGX131077 GXB131069:GXB131077 GNF131069:GNF131077 GDJ131069:GDJ131077 FTN131069:FTN131077 FJR131069:FJR131077 EZV131069:EZV131077 EPZ131069:EPZ131077 EGD131069:EGD131077 DWH131069:DWH131077 DML131069:DML131077 DCP131069:DCP131077 CST131069:CST131077 CIX131069:CIX131077 BZB131069:BZB131077 BPF131069:BPF131077 BFJ131069:BFJ131077 AVN131069:AVN131077 ALR131069:ALR131077 ABV131069:ABV131077 RZ131069:RZ131077 ID131069:ID131077 C131069:C131077 WUP65533:WUP65541 WKT65533:WKT65541 WAX65533:WAX65541 VRB65533:VRB65541 VHF65533:VHF65541 UXJ65533:UXJ65541 UNN65533:UNN65541 UDR65533:UDR65541 TTV65533:TTV65541 TJZ65533:TJZ65541 TAD65533:TAD65541 SQH65533:SQH65541 SGL65533:SGL65541 RWP65533:RWP65541 RMT65533:RMT65541 RCX65533:RCX65541 QTB65533:QTB65541 QJF65533:QJF65541 PZJ65533:PZJ65541 PPN65533:PPN65541 PFR65533:PFR65541 OVV65533:OVV65541 OLZ65533:OLZ65541 OCD65533:OCD65541 NSH65533:NSH65541 NIL65533:NIL65541 MYP65533:MYP65541 MOT65533:MOT65541 MEX65533:MEX65541 LVB65533:LVB65541 LLF65533:LLF65541 LBJ65533:LBJ65541 KRN65533:KRN65541 KHR65533:KHR65541 JXV65533:JXV65541 JNZ65533:JNZ65541 JED65533:JED65541 IUH65533:IUH65541 IKL65533:IKL65541 IAP65533:IAP65541 HQT65533:HQT65541 HGX65533:HGX65541 GXB65533:GXB65541 GNF65533:GNF65541 GDJ65533:GDJ65541 FTN65533:FTN65541 FJR65533:FJR65541 EZV65533:EZV65541 EPZ65533:EPZ65541 EGD65533:EGD65541 DWH65533:DWH65541 DML65533:DML65541 DCP65533:DCP65541 CST65533:CST65541 CIX65533:CIX65541 BZB65533:BZB65541 BPF65533:BPF65541 BFJ65533:BFJ65541 AVN65533:AVN65541 ALR65533:ALR65541 ABV65533:ABV65541 RZ65533:RZ65541 IE40:IE45 SA40:SA45 ABW40:ABW45 ALS40:ALS45 AVO40:AVO45 BFK40:BFK45 BPG40:BPG45 BZC40:BZC45 CIY40:CIY45 CSU40:CSU45 DCQ40:DCQ45 DMM40:DMM45 DWI40:DWI45 EGE40:EGE45 EQA40:EQA45 EZW40:EZW45 FJS40:FJS45 FTO40:FTO45 GDK40:GDK45 GNG40:GNG45 GXC40:GXC45 HGY40:HGY45 HQU40:HQU45 IAQ40:IAQ45 IKM40:IKM45 IUI40:IUI45 JEE40:JEE45 JOA40:JOA45 JXW40:JXW45 KHS40:KHS45 KRO40:KRO45 LBK40:LBK45 LLG40:LLG45 LVC40:LVC45 MEY40:MEY45 MOU40:MOU45 MYQ40:MYQ45 NIM40:NIM45 NSI40:NSI45 OCE40:OCE45 OMA40:OMA45 OVW40:OVW45 PFS40:PFS45 PPO40:PPO45 PZK40:PZK45 QJG40:QJG45 QTC40:QTC45 RCY40:RCY45 RMU40:RMU45 RWQ40:RWQ45 SGM40:SGM45 SQI40:SQI45 TAE40:TAE45 TKA40:TKA45 TTW40:TTW45 UDS40:UDS45 UNO40:UNO45 UXK40:UXK45 VHG40:VHG45 VRC40:VRC45 WAY40:WAY45 WKU40:WKU45 WUQ40:WUQ45" xr:uid="{00000000-0002-0000-0D00-000002000000}">
      <formula1>#REF!</formula1>
    </dataValidation>
  </dataValidations>
  <printOptions horizontalCentered="1"/>
  <pageMargins left="0.78740157480314965" right="0.35433070866141736" top="0.39370078740157483" bottom="0.39370078740157483" header="0.31496062992125984" footer="0.11811023622047245"/>
  <pageSetup paperSize="9" scale="5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D00-000003000000}">
          <x14:formula1>
            <xm:f>'/Users/yazan/Library/Containers/com.microsoft.Excel/Data/Documents/\\hflserver\users\Samuel.Antunes\Desktop\New  folder\COST SHEET\[Pollustop Cost Sheet.xlsx]Base Costs'!#REF!</xm:f>
          </x14:formula1>
          <xm:sqref>B9</xm:sqref>
        </x14:dataValidation>
        <x14:dataValidation type="list" allowBlank="1" showInputMessage="1" showErrorMessage="1" xr:uid="{00000000-0002-0000-0D00-000004000000}">
          <x14:formula1>
            <xm:f>'Base Costs'!$E$4:$E$213</xm:f>
          </x14:formula1>
          <xm:sqref>D52</xm:sqref>
        </x14:dataValidation>
        <x14:dataValidation type="list" allowBlank="1" showInputMessage="1" showErrorMessage="1" xr:uid="{00000000-0002-0000-0D00-000005000000}">
          <x14:formula1>
            <xm:f>'Base Costs'!$A$4:$A$16</xm:f>
          </x14:formula1>
          <xm:sqref>D53</xm:sqref>
        </x14:dataValidation>
        <x14:dataValidation type="list" allowBlank="1" showInputMessage="1" showErrorMessage="1" xr:uid="{00000000-0002-0000-0D00-000006000000}">
          <x14:formula1>
            <xm:f>'Base Costs'!$AP$98:$AP$108</xm:f>
          </x14:formula1>
          <xm:sqref>C22</xm:sqref>
        </x14:dataValidation>
        <x14:dataValidation type="list" allowBlank="1" showInputMessage="1" showErrorMessage="1" xr:uid="{00000000-0002-0000-0D00-000007000000}">
          <x14:formula1>
            <xm:f>'Base Costs'!$AP$85:$AP$95</xm:f>
          </x14:formula1>
          <xm:sqref>C21</xm:sqref>
        </x14:dataValidation>
        <x14:dataValidation type="list" allowBlank="1" showInputMessage="1" showErrorMessage="1" xr:uid="{00000000-0002-0000-0D00-000008000000}">
          <x14:formula1>
            <xm:f>'Base Costs'!$AP$72:$AP$82</xm:f>
          </x14:formula1>
          <xm:sqref>C20</xm:sqref>
        </x14:dataValidation>
        <x14:dataValidation type="list" allowBlank="1" showInputMessage="1" showErrorMessage="1" xr:uid="{00000000-0002-0000-0D00-000009000000}">
          <x14:formula1>
            <xm:f>'Base Costs'!$AP$59:$AP$69</xm:f>
          </x14:formula1>
          <xm:sqref>C19</xm:sqref>
        </x14:dataValidation>
        <x14:dataValidation type="list" allowBlank="1" showInputMessage="1" showErrorMessage="1" xr:uid="{00000000-0002-0000-0D00-00000A000000}">
          <x14:formula1>
            <xm:f>'Base Costs'!$AP$46:$AP$56</xm:f>
          </x14:formula1>
          <xm:sqref>C18</xm:sqref>
        </x14:dataValidation>
        <x14:dataValidation type="list" allowBlank="1" showInputMessage="1" showErrorMessage="1" xr:uid="{00000000-0002-0000-0D00-00000B000000}">
          <x14:formula1>
            <xm:f>'Base Costs'!$AP$33:$AP$43</xm:f>
          </x14:formula1>
          <xm:sqref>C17</xm:sqref>
        </x14:dataValidation>
        <x14:dataValidation type="list" allowBlank="1" showInputMessage="1" showErrorMessage="1" xr:uid="{00000000-0002-0000-0D00-00000C000000}">
          <x14:formula1>
            <xm:f>'Base Costs'!$AP$20:$AP$30</xm:f>
          </x14:formula1>
          <xm:sqref>C16</xm:sqref>
        </x14:dataValidation>
        <x14:dataValidation type="list" allowBlank="1" showInputMessage="1" showErrorMessage="1" xr:uid="{00000000-0002-0000-0D00-00000D000000}">
          <x14:formula1>
            <xm:f>'Base Costs'!$AP$6:$AP$16</xm:f>
          </x14:formula1>
          <xm:sqref>C15</xm:sqref>
        </x14:dataValidation>
        <x14:dataValidation type="list" allowBlank="1" showInputMessage="1" showErrorMessage="1" xr:uid="{00000000-0002-0000-0D00-00000E000000}">
          <x14:formula1>
            <xm:f>'Base Costs'!$AP$111:$AP$121</xm:f>
          </x14:formula1>
          <xm:sqref>C23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374C6-09A3-4089-A79B-50994CE58677}">
  <sheetPr>
    <tabColor theme="8" tint="0.79998168889431442"/>
    <pageSetUpPr fitToPage="1"/>
  </sheetPr>
  <dimension ref="A1:AD150"/>
  <sheetViews>
    <sheetView showGridLines="0" zoomScale="80" zoomScaleNormal="80" zoomScaleSheetLayoutView="50" workbookViewId="0">
      <selection activeCell="O1" sqref="O1"/>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83203125" style="228" bestFit="1" customWidth="1"/>
    <col min="13" max="13" width="1.332031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65" t="s">
        <v>1472</v>
      </c>
      <c r="D1" s="1165"/>
      <c r="E1" s="216"/>
      <c r="F1" s="216"/>
      <c r="G1" s="216"/>
      <c r="H1" s="216"/>
      <c r="I1" s="29"/>
      <c r="J1" s="336"/>
      <c r="K1" s="337"/>
      <c r="L1" s="338"/>
      <c r="M1" s="339"/>
      <c r="N1" s="336"/>
      <c r="O1" s="981" t="s">
        <v>1478</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728</v>
      </c>
      <c r="D3" s="1155" t="str">
        <f>IF(CANOPY!C3="","",CANOPY!C3)</f>
        <v/>
      </c>
      <c r="E3" s="1155"/>
      <c r="G3" s="76" t="s">
        <v>75</v>
      </c>
      <c r="H3" s="1081" t="str">
        <f>IF(CANOPY!G3="","",CANOPY!G3)</f>
        <v/>
      </c>
      <c r="I3" s="1081"/>
      <c r="J3" s="1081"/>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72</v>
      </c>
      <c r="D5" s="1080" t="str">
        <f>IF(CANOPY!C5="","",CANOPY!C5)</f>
        <v/>
      </c>
      <c r="E5" s="1080"/>
      <c r="G5" s="76" t="s">
        <v>74</v>
      </c>
      <c r="H5" s="1081" t="str">
        <f>IF(CANOPY!G5="","",CANOPY!G5)</f>
        <v/>
      </c>
      <c r="I5" s="1081"/>
      <c r="J5" s="1081"/>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729</v>
      </c>
      <c r="D7" s="1080" t="str">
        <f>IF(CANOPY!C7="","",CANOPY!C7)</f>
        <v/>
      </c>
      <c r="E7" s="1080"/>
      <c r="G7" s="76" t="s">
        <v>73</v>
      </c>
      <c r="H7" s="1083" t="str">
        <f>IF(CANOPY!G7="","",CANOPY!G7)</f>
        <v/>
      </c>
      <c r="I7" s="1083"/>
      <c r="J7" s="1083"/>
      <c r="N7" s="347" t="s">
        <v>76</v>
      </c>
      <c r="O7" s="907" t="str">
        <f>IF(CANOPY!O7="","",CANOPY!O7)</f>
        <v/>
      </c>
      <c r="P7" s="1173" t="s">
        <v>1370</v>
      </c>
      <c r="Q7" s="1173"/>
      <c r="R7" s="1173"/>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348</v>
      </c>
      <c r="D9" s="956">
        <v>0</v>
      </c>
      <c r="E9" s="377">
        <f>IF(D9=0,0,(SUBTOTAL(9,M14:M37)/(1-D9))-M9)</f>
        <v>0</v>
      </c>
      <c r="I9" s="234"/>
      <c r="K9" s="25">
        <f>SUBTOTAL(9,K12:K37)</f>
        <v>0</v>
      </c>
      <c r="L9" s="976" t="str">
        <f>IF(O9=0,"-",O9/M9)</f>
        <v>-</v>
      </c>
      <c r="M9" s="25">
        <f>SUBTOTAL(9,M12:M37)</f>
        <v>0</v>
      </c>
      <c r="N9" s="464">
        <f>SUBTOTAL(9,N12:N37)</f>
        <v>0</v>
      </c>
      <c r="O9" s="25">
        <f>SUBTOTAL(9,O12:O37)</f>
        <v>0</v>
      </c>
      <c r="P9" s="217"/>
      <c r="Q9" s="217"/>
      <c r="R9" s="217"/>
      <c r="S9" s="217"/>
      <c r="T9" s="217"/>
      <c r="U9" s="217"/>
      <c r="V9" s="217"/>
      <c r="Z9" s="217"/>
      <c r="AA9" s="217"/>
      <c r="AB9" s="217"/>
    </row>
    <row r="10" spans="1:28" s="80" customFormat="1" ht="15" customHeight="1" x14ac:dyDescent="0.15">
      <c r="A10" s="215"/>
      <c r="B10" s="215"/>
      <c r="C10" s="6" t="s">
        <v>348</v>
      </c>
      <c r="D10" s="6" t="s">
        <v>537</v>
      </c>
      <c r="E10" s="6" t="s">
        <v>536</v>
      </c>
      <c r="F10" s="6"/>
      <c r="G10" s="6"/>
      <c r="H10" s="6"/>
      <c r="I10" s="6"/>
      <c r="J10" s="1" t="s">
        <v>204</v>
      </c>
      <c r="K10" s="2" t="s">
        <v>34</v>
      </c>
      <c r="L10" s="3" t="s">
        <v>141</v>
      </c>
      <c r="M10" s="4" t="s">
        <v>127</v>
      </c>
      <c r="N10" s="1" t="s">
        <v>205</v>
      </c>
      <c r="O10" s="5" t="s">
        <v>206</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347</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604</v>
      </c>
      <c r="D12" s="236"/>
      <c r="E12" s="236">
        <f>E14</f>
        <v>0</v>
      </c>
      <c r="F12" s="845">
        <v>0</v>
      </c>
      <c r="G12" s="1040">
        <f>E14</f>
        <v>0</v>
      </c>
      <c r="H12" s="237" t="str">
        <f>E12&amp;G12&amp;F12</f>
        <v>000</v>
      </c>
      <c r="I12" s="236">
        <f>IF(F14=0,0,IF(G14=0,0,(F14/(IF(D14="WALL",F14,(F14/2)))*I14)))</f>
        <v>0</v>
      </c>
      <c r="J12" s="238"/>
      <c r="K12" s="154">
        <f>SUBTOTAL(9,K14:K23)</f>
        <v>0</v>
      </c>
      <c r="L12" s="15" t="str">
        <f>IF(K14=0,"-",O12/M12)</f>
        <v>-</v>
      </c>
      <c r="M12" s="154">
        <f>SUBTOTAL(9,M14:M21)</f>
        <v>0</v>
      </c>
      <c r="N12" s="464">
        <f>SUBTOTAL(9,N14:N23)</f>
        <v>0</v>
      </c>
      <c r="O12" s="154">
        <f>SUBTOTAL(9,O14:O23)</f>
        <v>0</v>
      </c>
      <c r="P12" s="217"/>
      <c r="Q12" s="217"/>
      <c r="R12" s="217"/>
      <c r="S12" s="217"/>
      <c r="T12" s="217"/>
      <c r="U12" s="235"/>
      <c r="V12" s="217"/>
      <c r="Z12" s="217"/>
      <c r="AA12" s="217"/>
      <c r="AB12" s="217"/>
    </row>
    <row r="13" spans="1:28" ht="15" customHeight="1" x14ac:dyDescent="0.15">
      <c r="C13" s="7"/>
      <c r="D13" s="10" t="s">
        <v>198</v>
      </c>
      <c r="E13" s="27" t="s">
        <v>972</v>
      </c>
      <c r="F13" s="10" t="s">
        <v>128</v>
      </c>
      <c r="G13" s="10" t="s">
        <v>129</v>
      </c>
      <c r="H13" s="10" t="s">
        <v>172</v>
      </c>
      <c r="I13" s="10" t="s">
        <v>197</v>
      </c>
      <c r="J13" s="349"/>
      <c r="K13" s="350"/>
      <c r="L13" s="350"/>
      <c r="M13" s="351"/>
      <c r="N13" s="352"/>
      <c r="O13" s="5"/>
      <c r="U13" s="229"/>
      <c r="AA13" s="217"/>
    </row>
    <row r="14" spans="1:28" ht="15" customHeight="1" x14ac:dyDescent="0.2">
      <c r="A14" s="215">
        <v>210</v>
      </c>
      <c r="C14" s="864" t="s">
        <v>1428</v>
      </c>
      <c r="D14" s="460" t="s">
        <v>1080</v>
      </c>
      <c r="E14" s="461">
        <v>0</v>
      </c>
      <c r="F14" s="902">
        <v>730</v>
      </c>
      <c r="G14" s="902">
        <v>2065</v>
      </c>
      <c r="H14" s="903">
        <v>750</v>
      </c>
      <c r="I14" s="31"/>
      <c r="J14" s="380">
        <v>1673.52</v>
      </c>
      <c r="K14" s="378">
        <f t="shared" ref="K14:K23" si="0">SUM(J14*E14)</f>
        <v>0</v>
      </c>
      <c r="L14" s="904">
        <v>0.5</v>
      </c>
      <c r="M14" s="311">
        <f t="shared" ref="M14:M21" si="1">(K14/(1-L14))*(1+$D$9)</f>
        <v>0</v>
      </c>
      <c r="N14" s="378">
        <f>(M14*VLOOKUP($C$9,'Base Costs'!$A$32:$B$37,2,FALSE))</f>
        <v>0</v>
      </c>
      <c r="O14" s="379">
        <f t="shared" ref="O14:O21" si="2">M14-K14</f>
        <v>0</v>
      </c>
      <c r="U14" s="229"/>
      <c r="AA14" s="217"/>
    </row>
    <row r="15" spans="1:28" ht="15" customHeight="1" x14ac:dyDescent="0.2">
      <c r="A15" s="215">
        <v>104</v>
      </c>
      <c r="C15" s="864" t="s">
        <v>1429</v>
      </c>
      <c r="D15" s="460" t="s">
        <v>1082</v>
      </c>
      <c r="E15" s="448">
        <v>0</v>
      </c>
      <c r="F15" s="902">
        <v>1330</v>
      </c>
      <c r="G15" s="902">
        <v>2065</v>
      </c>
      <c r="H15" s="903">
        <v>750</v>
      </c>
      <c r="I15" s="31"/>
      <c r="J15" s="380">
        <v>1818.48</v>
      </c>
      <c r="K15" s="378">
        <f t="shared" si="0"/>
        <v>0</v>
      </c>
      <c r="L15" s="904">
        <v>0.5</v>
      </c>
      <c r="M15" s="311">
        <f t="shared" si="1"/>
        <v>0</v>
      </c>
      <c r="N15" s="378">
        <f>(M15*VLOOKUP($C$9,'Base Costs'!$A$32:$B$37,2,FALSE))</f>
        <v>0</v>
      </c>
      <c r="O15" s="379">
        <f t="shared" si="2"/>
        <v>0</v>
      </c>
      <c r="U15" s="229"/>
      <c r="AA15" s="217"/>
    </row>
    <row r="16" spans="1:28" ht="15" customHeight="1" x14ac:dyDescent="0.2">
      <c r="A16" s="215">
        <v>234</v>
      </c>
      <c r="C16" s="270" t="s">
        <v>1430</v>
      </c>
      <c r="D16" s="460" t="s">
        <v>1084</v>
      </c>
      <c r="E16" s="448">
        <v>0</v>
      </c>
      <c r="F16" s="902">
        <v>1330</v>
      </c>
      <c r="G16" s="902">
        <v>2065</v>
      </c>
      <c r="H16" s="903">
        <v>1050</v>
      </c>
      <c r="I16" s="31"/>
      <c r="J16" s="380">
        <v>2438.69</v>
      </c>
      <c r="K16" s="378">
        <f t="shared" si="0"/>
        <v>0</v>
      </c>
      <c r="L16" s="904">
        <v>0.5</v>
      </c>
      <c r="M16" s="311">
        <f t="shared" si="1"/>
        <v>0</v>
      </c>
      <c r="N16" s="378">
        <f>(M16*VLOOKUP($C$9,'Base Costs'!$A$32:$B$37,2,FALSE))</f>
        <v>0</v>
      </c>
      <c r="O16" s="379">
        <f t="shared" si="2"/>
        <v>0</v>
      </c>
      <c r="U16" s="229"/>
      <c r="AA16" s="217"/>
    </row>
    <row r="17" spans="1:27" ht="15" customHeight="1" x14ac:dyDescent="0.2">
      <c r="C17" s="791" t="s">
        <v>1431</v>
      </c>
      <c r="D17" s="460" t="s">
        <v>1086</v>
      </c>
      <c r="E17" s="448">
        <v>0</v>
      </c>
      <c r="F17" s="902">
        <v>1330</v>
      </c>
      <c r="G17" s="902">
        <v>2065</v>
      </c>
      <c r="H17" s="903">
        <v>1350</v>
      </c>
      <c r="I17" s="31"/>
      <c r="J17" s="380">
        <v>2583.54</v>
      </c>
      <c r="K17" s="378">
        <f t="shared" si="0"/>
        <v>0</v>
      </c>
      <c r="L17" s="904">
        <v>0.5</v>
      </c>
      <c r="M17" s="311">
        <f t="shared" si="1"/>
        <v>0</v>
      </c>
      <c r="N17" s="378">
        <f>(M17*VLOOKUP($C$9,'Base Costs'!$A$32:$B$37,2,FALSE))</f>
        <v>0</v>
      </c>
      <c r="O17" s="379">
        <f t="shared" si="2"/>
        <v>0</v>
      </c>
      <c r="U17" s="229"/>
      <c r="AA17" s="217"/>
    </row>
    <row r="18" spans="1:27" ht="15" customHeight="1" x14ac:dyDescent="0.2">
      <c r="C18" s="864" t="s">
        <v>1434</v>
      </c>
      <c r="D18" s="460" t="s">
        <v>1075</v>
      </c>
      <c r="E18" s="448">
        <v>0</v>
      </c>
      <c r="F18" s="844">
        <v>730</v>
      </c>
      <c r="G18" s="902">
        <v>2065</v>
      </c>
      <c r="H18" s="903">
        <v>750</v>
      </c>
      <c r="I18" s="31"/>
      <c r="J18" s="380">
        <v>1673.52</v>
      </c>
      <c r="K18" s="378">
        <f t="shared" si="0"/>
        <v>0</v>
      </c>
      <c r="L18" s="904">
        <v>0.5</v>
      </c>
      <c r="M18" s="311">
        <f t="shared" si="1"/>
        <v>0</v>
      </c>
      <c r="N18" s="378">
        <f>(M18*VLOOKUP($C$9,'Base Costs'!$A$32:$B$37,2,FALSE))</f>
        <v>0</v>
      </c>
      <c r="O18" s="379">
        <f t="shared" si="2"/>
        <v>0</v>
      </c>
      <c r="U18" s="229"/>
      <c r="AA18" s="217"/>
    </row>
    <row r="19" spans="1:27" ht="15" customHeight="1" x14ac:dyDescent="0.2">
      <c r="C19" s="864" t="s">
        <v>1435</v>
      </c>
      <c r="D19" s="460" t="s">
        <v>1077</v>
      </c>
      <c r="E19" s="448">
        <v>0</v>
      </c>
      <c r="F19" s="902">
        <v>1330</v>
      </c>
      <c r="G19" s="902">
        <v>2065</v>
      </c>
      <c r="H19" s="903">
        <v>750</v>
      </c>
      <c r="I19" s="31"/>
      <c r="J19" s="380">
        <v>1818.48</v>
      </c>
      <c r="K19" s="378">
        <f t="shared" si="0"/>
        <v>0</v>
      </c>
      <c r="L19" s="904">
        <v>0.5</v>
      </c>
      <c r="M19" s="311">
        <f t="shared" si="1"/>
        <v>0</v>
      </c>
      <c r="N19" s="378">
        <f>(M19*VLOOKUP($C$9,'Base Costs'!$A$32:$B$37,2,FALSE))</f>
        <v>0</v>
      </c>
      <c r="O19" s="379">
        <f t="shared" si="2"/>
        <v>0</v>
      </c>
      <c r="U19" s="229"/>
      <c r="AA19" s="217"/>
    </row>
    <row r="20" spans="1:27" ht="15" customHeight="1" x14ac:dyDescent="0.15">
      <c r="C20" s="864" t="s">
        <v>1436</v>
      </c>
      <c r="D20" s="460" t="s">
        <v>1432</v>
      </c>
      <c r="E20" s="448">
        <v>0</v>
      </c>
      <c r="F20" s="905">
        <v>1930</v>
      </c>
      <c r="G20" s="905">
        <v>2065</v>
      </c>
      <c r="H20" s="906">
        <v>750</v>
      </c>
      <c r="I20" s="31"/>
      <c r="J20" s="380">
        <v>2525.69</v>
      </c>
      <c r="K20" s="378">
        <f t="shared" si="0"/>
        <v>0</v>
      </c>
      <c r="L20" s="904">
        <v>0.5</v>
      </c>
      <c r="M20" s="311">
        <f t="shared" si="1"/>
        <v>0</v>
      </c>
      <c r="N20" s="378">
        <f>(M20*VLOOKUP($C$9,'Base Costs'!$A$32:$B$37,2,FALSE))</f>
        <v>0</v>
      </c>
      <c r="O20" s="379">
        <f t="shared" si="2"/>
        <v>0</v>
      </c>
      <c r="U20" s="229"/>
      <c r="AA20" s="217"/>
    </row>
    <row r="21" spans="1:27" ht="15" customHeight="1" x14ac:dyDescent="0.15">
      <c r="A21" s="215">
        <v>289</v>
      </c>
      <c r="C21" s="864" t="s">
        <v>1437</v>
      </c>
      <c r="D21" s="460" t="s">
        <v>1433</v>
      </c>
      <c r="E21" s="448">
        <v>0</v>
      </c>
      <c r="F21" s="905">
        <v>2530</v>
      </c>
      <c r="G21" s="905">
        <v>2065</v>
      </c>
      <c r="H21" s="906">
        <v>750</v>
      </c>
      <c r="I21" s="31"/>
      <c r="J21" s="380">
        <v>2666.06</v>
      </c>
      <c r="K21" s="378">
        <f t="shared" si="0"/>
        <v>0</v>
      </c>
      <c r="L21" s="904">
        <v>0.5</v>
      </c>
      <c r="M21" s="311">
        <f t="shared" si="1"/>
        <v>0</v>
      </c>
      <c r="N21" s="378">
        <f>(M21*VLOOKUP($C$9,'Base Costs'!$A$32:$B$37,2,FALSE))</f>
        <v>0</v>
      </c>
      <c r="O21" s="379">
        <f t="shared" si="2"/>
        <v>0</v>
      </c>
      <c r="U21" s="229"/>
      <c r="AA21" s="217"/>
    </row>
    <row r="22" spans="1:27" ht="15" customHeight="1" x14ac:dyDescent="0.15">
      <c r="A22" s="215">
        <v>242</v>
      </c>
      <c r="C22" s="269"/>
      <c r="D22" s="460"/>
      <c r="E22" s="448">
        <v>0</v>
      </c>
      <c r="F22" s="462"/>
      <c r="G22" s="32"/>
      <c r="H22" s="30"/>
      <c r="I22" s="31"/>
      <c r="J22" s="938"/>
      <c r="K22" s="378">
        <f t="shared" si="0"/>
        <v>0</v>
      </c>
      <c r="L22" s="392">
        <v>0.435</v>
      </c>
      <c r="M22" s="311">
        <f>(K22/(1-L22))*(1+$D$9)</f>
        <v>0</v>
      </c>
      <c r="N22" s="378">
        <f>(M22*VLOOKUP($C$9,'Base Costs'!$A$32:$B$37,2,FALSE))</f>
        <v>0</v>
      </c>
      <c r="O22" s="379">
        <f>M22-K22</f>
        <v>0</v>
      </c>
      <c r="U22" s="229"/>
      <c r="AA22" s="217"/>
    </row>
    <row r="23" spans="1:27" ht="15" customHeight="1" x14ac:dyDescent="0.15">
      <c r="A23" s="215">
        <v>220</v>
      </c>
      <c r="C23" s="943" t="s">
        <v>1365</v>
      </c>
      <c r="D23" s="460" t="s">
        <v>1426</v>
      </c>
      <c r="E23" s="448">
        <v>0</v>
      </c>
      <c r="F23" s="462"/>
      <c r="G23" s="32"/>
      <c r="H23" s="30"/>
      <c r="I23" s="31"/>
      <c r="J23" s="889">
        <v>875</v>
      </c>
      <c r="K23" s="378">
        <f t="shared" si="0"/>
        <v>0</v>
      </c>
      <c r="L23" s="392">
        <v>0.35</v>
      </c>
      <c r="M23" s="311">
        <f>(K23/(1-L23))*(1+$D$9)</f>
        <v>0</v>
      </c>
      <c r="N23" s="378">
        <f>(M23*VLOOKUP($C$9,'Base Costs'!$A$32:$B$37,2,FALSE))</f>
        <v>0</v>
      </c>
      <c r="O23" s="379">
        <f>M23-K23</f>
        <v>0</v>
      </c>
      <c r="U23" s="229"/>
      <c r="AA23" s="217"/>
    </row>
    <row r="24" spans="1:27" ht="15" customHeight="1" x14ac:dyDescent="0.15">
      <c r="A24" s="215">
        <v>103</v>
      </c>
      <c r="H24" s="34" t="s">
        <v>347</v>
      </c>
      <c r="U24" s="229"/>
      <c r="AA24" s="217"/>
    </row>
    <row r="25" spans="1:27" ht="15" customHeight="1" x14ac:dyDescent="0.15">
      <c r="A25" s="215">
        <v>103</v>
      </c>
      <c r="C25" s="239"/>
      <c r="D25" s="239"/>
      <c r="E25" s="239"/>
      <c r="F25" s="239"/>
      <c r="G25" s="239"/>
      <c r="H25" s="239"/>
      <c r="I25" s="9"/>
      <c r="J25" s="11"/>
      <c r="K25" s="353"/>
      <c r="L25" s="240"/>
      <c r="M25" s="353"/>
      <c r="N25" s="353"/>
      <c r="U25" s="229"/>
      <c r="AA25" s="217"/>
    </row>
    <row r="26" spans="1:27" ht="15" customHeight="1" x14ac:dyDescent="0.15">
      <c r="C26" s="1094" t="s">
        <v>47</v>
      </c>
      <c r="D26" s="1094"/>
      <c r="E26" s="1094"/>
      <c r="F26" s="1094"/>
      <c r="G26" s="1094"/>
      <c r="H26" s="1094"/>
      <c r="I26" s="236"/>
      <c r="J26" s="330"/>
      <c r="K26" s="154">
        <f>SUBTOTAL(9,K27:K37)</f>
        <v>0</v>
      </c>
      <c r="L26" s="15" t="str">
        <f>IF(K26=0,"-",O26/M26)</f>
        <v>-</v>
      </c>
      <c r="M26" s="154">
        <f>SUBTOTAL(9,M27:M37)</f>
        <v>0</v>
      </c>
      <c r="N26" s="464">
        <f>SUBTOTAL(9,N27:N37)</f>
        <v>0</v>
      </c>
      <c r="O26" s="154">
        <f>SUBTOTAL(9,O28:O37)</f>
        <v>0</v>
      </c>
      <c r="U26" s="229"/>
      <c r="AA26" s="217"/>
    </row>
    <row r="27" spans="1:27" ht="15" customHeight="1" x14ac:dyDescent="0.15">
      <c r="A27" s="215">
        <v>285</v>
      </c>
      <c r="C27" s="269" t="s">
        <v>10</v>
      </c>
      <c r="D27" s="242"/>
      <c r="E27" s="775" t="s">
        <v>45</v>
      </c>
      <c r="F27" s="28"/>
      <c r="G27" s="30"/>
      <c r="H27" s="28"/>
      <c r="I27" s="28"/>
      <c r="J27" s="385">
        <f>VLOOKUP(E27,'Base Costs'!E4:G213,2,FALSE)</f>
        <v>0</v>
      </c>
      <c r="K27" s="378">
        <f t="shared" ref="K27:K37" si="3">D27*J27</f>
        <v>0</v>
      </c>
      <c r="L27" s="392">
        <v>0.33</v>
      </c>
      <c r="M27" s="311">
        <f t="shared" ref="M27:M37" si="4">(K27/(1-L27))*(1+$D$9)</f>
        <v>0</v>
      </c>
      <c r="N27" s="378">
        <f>(M27*VLOOKUP($C$9,'Base Costs'!$A$32:$B$37,2,FALSE))</f>
        <v>0</v>
      </c>
      <c r="O27" s="379">
        <f t="shared" ref="O27:O37" si="5">M27-K27</f>
        <v>0</v>
      </c>
      <c r="U27" s="229"/>
      <c r="AA27" s="217"/>
    </row>
    <row r="28" spans="1:27" ht="15" customHeight="1" x14ac:dyDescent="0.15">
      <c r="C28" s="269" t="s">
        <v>36</v>
      </c>
      <c r="D28" s="242"/>
      <c r="E28" s="775" t="s">
        <v>184</v>
      </c>
      <c r="F28" s="1118" t="s">
        <v>1405</v>
      </c>
      <c r="G28" s="1118"/>
      <c r="H28" s="28"/>
      <c r="I28" s="28"/>
      <c r="J28" s="385">
        <f>VLOOKUP(E28,'Base Costs'!$A$4:$B$16,2,FALSE)</f>
        <v>0</v>
      </c>
      <c r="K28" s="378">
        <f t="shared" si="3"/>
        <v>0</v>
      </c>
      <c r="L28" s="392">
        <v>0.33</v>
      </c>
      <c r="M28" s="311">
        <f t="shared" si="4"/>
        <v>0</v>
      </c>
      <c r="N28" s="378">
        <f>(M28*VLOOKUP($C$9,'Base Costs'!$A$32:$B$37,2,FALSE))</f>
        <v>0</v>
      </c>
      <c r="O28" s="379">
        <f t="shared" si="5"/>
        <v>0</v>
      </c>
      <c r="U28" s="229"/>
      <c r="AA28" s="217"/>
    </row>
    <row r="29" spans="1:27" ht="15" customHeight="1" x14ac:dyDescent="0.15">
      <c r="C29" s="269" t="s">
        <v>36</v>
      </c>
      <c r="D29" s="242"/>
      <c r="E29" s="775" t="s">
        <v>184</v>
      </c>
      <c r="F29" s="28"/>
      <c r="G29" s="28"/>
      <c r="H29" s="28"/>
      <c r="I29" s="28"/>
      <c r="J29" s="385">
        <f>VLOOKUP(E29,'Base Costs'!$A$4:$B$16,2,FALSE)</f>
        <v>0</v>
      </c>
      <c r="K29" s="378">
        <f t="shared" si="3"/>
        <v>0</v>
      </c>
      <c r="L29" s="392">
        <v>0.33</v>
      </c>
      <c r="M29" s="311">
        <f t="shared" si="4"/>
        <v>0</v>
      </c>
      <c r="N29" s="378">
        <f>(M29*VLOOKUP($C$9,'Base Costs'!$A$32:$B$37,2,FALSE))</f>
        <v>0</v>
      </c>
      <c r="O29" s="379">
        <f t="shared" si="5"/>
        <v>0</v>
      </c>
      <c r="P29" s="1178"/>
      <c r="Q29" s="1178"/>
      <c r="U29" s="229"/>
      <c r="AA29" s="217"/>
    </row>
    <row r="30" spans="1:27" ht="15" customHeight="1" x14ac:dyDescent="0.15">
      <c r="C30" s="269" t="s">
        <v>1355</v>
      </c>
      <c r="D30" s="242"/>
      <c r="E30" s="28" t="s">
        <v>137</v>
      </c>
      <c r="F30" s="28"/>
      <c r="G30" s="28"/>
      <c r="H30" s="28"/>
      <c r="I30" s="28"/>
      <c r="J30" s="385">
        <v>610</v>
      </c>
      <c r="K30" s="378">
        <f t="shared" si="3"/>
        <v>0</v>
      </c>
      <c r="L30" s="392">
        <v>0.33</v>
      </c>
      <c r="M30" s="311">
        <f t="shared" si="4"/>
        <v>0</v>
      </c>
      <c r="N30" s="378">
        <f>(M30*VLOOKUP($C$9,'Base Costs'!$A$32:$B$37,2,FALSE))</f>
        <v>0</v>
      </c>
      <c r="O30" s="379">
        <f t="shared" si="5"/>
        <v>0</v>
      </c>
      <c r="P30" s="1179"/>
      <c r="Q30" s="1179"/>
      <c r="R30" s="1179"/>
      <c r="U30" s="229"/>
      <c r="AA30" s="217"/>
    </row>
    <row r="31" spans="1:27" ht="15" customHeight="1" x14ac:dyDescent="0.15">
      <c r="A31" s="215">
        <v>286</v>
      </c>
      <c r="C31" s="269" t="s">
        <v>13</v>
      </c>
      <c r="D31" s="242"/>
      <c r="E31" s="28" t="s">
        <v>199</v>
      </c>
      <c r="F31" s="28"/>
      <c r="G31" s="28"/>
      <c r="H31" s="28"/>
      <c r="I31" s="28"/>
      <c r="J31" s="385">
        <v>15</v>
      </c>
      <c r="K31" s="378">
        <f t="shared" si="3"/>
        <v>0</v>
      </c>
      <c r="L31" s="392">
        <v>0.33</v>
      </c>
      <c r="M31" s="311">
        <f t="shared" si="4"/>
        <v>0</v>
      </c>
      <c r="N31" s="378">
        <f>(M31*VLOOKUP($C$9,'Base Costs'!$A$32:$B$37,2,FALSE))</f>
        <v>0</v>
      </c>
      <c r="O31" s="379">
        <f t="shared" si="5"/>
        <v>0</v>
      </c>
      <c r="P31" s="1179"/>
      <c r="Q31" s="1179"/>
      <c r="R31" s="1179"/>
      <c r="U31" s="229"/>
      <c r="AA31" s="217"/>
    </row>
    <row r="32" spans="1:27" ht="15" customHeight="1" x14ac:dyDescent="0.15">
      <c r="C32" s="269" t="s">
        <v>135</v>
      </c>
      <c r="D32" s="242"/>
      <c r="E32" s="28" t="s">
        <v>1356</v>
      </c>
      <c r="F32" s="1118" t="s">
        <v>1406</v>
      </c>
      <c r="G32" s="1118"/>
      <c r="H32" s="28"/>
      <c r="I32" s="28"/>
      <c r="J32" s="385">
        <v>610</v>
      </c>
      <c r="K32" s="378">
        <f t="shared" si="3"/>
        <v>0</v>
      </c>
      <c r="L32" s="392">
        <v>0.4</v>
      </c>
      <c r="M32" s="311">
        <f t="shared" si="4"/>
        <v>0</v>
      </c>
      <c r="N32" s="378">
        <f>(M32*VLOOKUP($C$9,'Base Costs'!$A$32:$B$37,2,FALSE))</f>
        <v>0</v>
      </c>
      <c r="O32" s="379">
        <f t="shared" si="5"/>
        <v>0</v>
      </c>
      <c r="U32" s="229"/>
      <c r="AA32" s="217"/>
    </row>
    <row r="33" spans="1:27" ht="15" customHeight="1" x14ac:dyDescent="0.15">
      <c r="C33" s="269" t="s">
        <v>136</v>
      </c>
      <c r="D33" s="242"/>
      <c r="E33" s="28" t="s">
        <v>1356</v>
      </c>
      <c r="F33" s="28"/>
      <c r="G33" s="28"/>
      <c r="H33" s="28"/>
      <c r="I33" s="28"/>
      <c r="J33" s="385">
        <v>1220</v>
      </c>
      <c r="K33" s="378">
        <f t="shared" si="3"/>
        <v>0</v>
      </c>
      <c r="L33" s="392">
        <v>0.4</v>
      </c>
      <c r="M33" s="311">
        <f t="shared" si="4"/>
        <v>0</v>
      </c>
      <c r="N33" s="378">
        <f>(M33*VLOOKUP($C$9,'Base Costs'!$A$32:$B$37,2,FALSE))</f>
        <v>0</v>
      </c>
      <c r="O33" s="379">
        <f t="shared" si="5"/>
        <v>0</v>
      </c>
      <c r="U33" s="229"/>
      <c r="AA33" s="217"/>
    </row>
    <row r="34" spans="1:27" ht="15" customHeight="1" x14ac:dyDescent="0.15">
      <c r="C34" s="269" t="s">
        <v>539</v>
      </c>
      <c r="D34" s="242"/>
      <c r="E34" s="28" t="s">
        <v>139</v>
      </c>
      <c r="F34" s="28"/>
      <c r="G34" s="28"/>
      <c r="H34" s="28"/>
      <c r="I34" s="28"/>
      <c r="J34" s="385">
        <v>150</v>
      </c>
      <c r="K34" s="378">
        <f t="shared" si="3"/>
        <v>0</v>
      </c>
      <c r="L34" s="392">
        <v>0.33</v>
      </c>
      <c r="M34" s="311">
        <f t="shared" si="4"/>
        <v>0</v>
      </c>
      <c r="N34" s="378">
        <f>(M34*VLOOKUP($C$9,'Base Costs'!$A$32:$B$37,2,FALSE))</f>
        <v>0</v>
      </c>
      <c r="O34" s="379">
        <f t="shared" si="5"/>
        <v>0</v>
      </c>
    </row>
    <row r="35" spans="1:27" ht="15" customHeight="1" x14ac:dyDescent="0.15">
      <c r="C35" s="269" t="s">
        <v>12</v>
      </c>
      <c r="D35" s="242"/>
      <c r="E35" s="28" t="s">
        <v>139</v>
      </c>
      <c r="F35" s="28"/>
      <c r="G35" s="28"/>
      <c r="H35" s="28"/>
      <c r="I35" s="28"/>
      <c r="J35" s="385">
        <v>220</v>
      </c>
      <c r="K35" s="378">
        <f t="shared" si="3"/>
        <v>0</v>
      </c>
      <c r="L35" s="392">
        <v>0.33</v>
      </c>
      <c r="M35" s="311">
        <f t="shared" si="4"/>
        <v>0</v>
      </c>
      <c r="N35" s="378">
        <f>(M35*VLOOKUP($C$9,'Base Costs'!$A$32:$B$37,2,FALSE))</f>
        <v>0</v>
      </c>
      <c r="O35" s="379">
        <f t="shared" si="5"/>
        <v>0</v>
      </c>
      <c r="U35" s="229"/>
      <c r="AA35" s="217"/>
    </row>
    <row r="36" spans="1:27" ht="15" customHeight="1" x14ac:dyDescent="0.15">
      <c r="C36" s="269" t="s">
        <v>32</v>
      </c>
      <c r="D36" s="242"/>
      <c r="E36" s="28" t="s">
        <v>140</v>
      </c>
      <c r="F36" s="28"/>
      <c r="G36" s="28"/>
      <c r="H36" s="28"/>
      <c r="I36" s="28"/>
      <c r="J36" s="385">
        <v>604</v>
      </c>
      <c r="K36" s="378">
        <f t="shared" si="3"/>
        <v>0</v>
      </c>
      <c r="L36" s="392">
        <v>0.33</v>
      </c>
      <c r="M36" s="311">
        <f>(K36/(1-L36))*(1+$D$9)</f>
        <v>0</v>
      </c>
      <c r="N36" s="378">
        <f>(M36*VLOOKUP($C$9,'Base Costs'!$A$32:$B$37,2,FALSE))</f>
        <v>0</v>
      </c>
      <c r="O36" s="379">
        <f>M36-K36</f>
        <v>0</v>
      </c>
      <c r="U36" s="229"/>
    </row>
    <row r="37" spans="1:27" ht="15" customHeight="1" x14ac:dyDescent="0.15">
      <c r="A37" s="215">
        <v>222</v>
      </c>
      <c r="C37" s="269"/>
      <c r="D37" s="242"/>
      <c r="E37" s="28" t="s">
        <v>201</v>
      </c>
      <c r="F37" s="28"/>
      <c r="G37" s="28"/>
      <c r="H37" s="28"/>
      <c r="I37" s="28"/>
      <c r="J37" s="385">
        <v>200</v>
      </c>
      <c r="K37" s="378">
        <f t="shared" si="3"/>
        <v>0</v>
      </c>
      <c r="L37" s="392">
        <v>0.33</v>
      </c>
      <c r="M37" s="311">
        <f t="shared" si="4"/>
        <v>0</v>
      </c>
      <c r="N37" s="378">
        <f>(M37*VLOOKUP($C$9,'Base Costs'!$A$32:$B$37,2,FALSE))</f>
        <v>0</v>
      </c>
      <c r="O37" s="379">
        <f t="shared" si="5"/>
        <v>0</v>
      </c>
      <c r="U37" s="229"/>
    </row>
    <row r="38" spans="1:27" ht="15" customHeight="1" x14ac:dyDescent="0.15">
      <c r="A38" s="215">
        <v>257</v>
      </c>
      <c r="C38" s="239"/>
      <c r="D38" s="239"/>
      <c r="E38" s="239"/>
      <c r="F38" s="239"/>
      <c r="G38" s="239"/>
      <c r="H38" s="243"/>
      <c r="I38" s="244"/>
      <c r="J38" s="354"/>
      <c r="K38" s="353"/>
      <c r="L38" s="355"/>
      <c r="M38" s="353"/>
      <c r="N38" s="353"/>
      <c r="U38" s="229"/>
    </row>
    <row r="39" spans="1:27" ht="15" customHeight="1" x14ac:dyDescent="0.2">
      <c r="C39" s="197" t="s">
        <v>121</v>
      </c>
      <c r="D39" s="198"/>
      <c r="E39" s="199"/>
      <c r="F39" s="199"/>
      <c r="G39" s="198"/>
      <c r="H39" s="200"/>
      <c r="I39" s="198"/>
      <c r="J39" s="198"/>
      <c r="K39" s="198"/>
      <c r="L39" s="198"/>
      <c r="M39" s="198"/>
      <c r="N39" s="198"/>
      <c r="O39" s="198"/>
      <c r="U39" s="229"/>
    </row>
    <row r="40" spans="1:27" ht="15" customHeight="1" x14ac:dyDescent="0.2">
      <c r="C40" s="202"/>
      <c r="D40" s="203"/>
      <c r="E40" s="202"/>
      <c r="F40" s="204"/>
      <c r="G40" s="202"/>
      <c r="H40" s="209"/>
      <c r="I40" s="203"/>
      <c r="J40" s="203"/>
      <c r="K40" s="205"/>
      <c r="L40" s="205"/>
      <c r="M40" s="205"/>
      <c r="N40" s="205"/>
      <c r="O40" s="205"/>
      <c r="U40" s="229"/>
    </row>
    <row r="41" spans="1:27" ht="15" customHeight="1" x14ac:dyDescent="0.2">
      <c r="C41" s="202"/>
      <c r="D41" s="203"/>
      <c r="E41" s="202"/>
      <c r="F41" s="204"/>
      <c r="G41" s="202"/>
      <c r="H41" s="209"/>
      <c r="I41" s="203"/>
      <c r="J41" s="203"/>
      <c r="K41" s="205"/>
      <c r="L41" s="205"/>
      <c r="M41" s="205"/>
      <c r="N41" s="205"/>
      <c r="O41" s="205"/>
      <c r="U41" s="229"/>
    </row>
    <row r="42" spans="1:27" ht="15" customHeight="1" x14ac:dyDescent="0.2">
      <c r="C42" s="202"/>
      <c r="D42" s="203"/>
      <c r="E42" s="202"/>
      <c r="F42" s="204"/>
      <c r="G42" s="202"/>
      <c r="H42" s="209"/>
      <c r="I42" s="203"/>
      <c r="J42" s="203"/>
      <c r="K42" s="209"/>
      <c r="L42" s="209"/>
      <c r="M42" s="209"/>
      <c r="N42" s="209"/>
      <c r="O42" s="209"/>
      <c r="U42" s="229"/>
    </row>
    <row r="43" spans="1:27" ht="15" customHeight="1" x14ac:dyDescent="0.2">
      <c r="C43" s="202"/>
      <c r="D43" s="203"/>
      <c r="E43" s="202"/>
      <c r="F43" s="204"/>
      <c r="G43" s="202"/>
      <c r="H43" s="209"/>
      <c r="I43" s="206"/>
      <c r="J43" s="203"/>
      <c r="K43" s="209"/>
      <c r="L43" s="209"/>
      <c r="M43" s="209"/>
      <c r="N43" s="209"/>
      <c r="O43" s="209"/>
      <c r="U43" s="229"/>
    </row>
    <row r="44" spans="1:27" ht="15" customHeight="1" x14ac:dyDescent="0.2">
      <c r="C44" s="202"/>
      <c r="D44" s="203"/>
      <c r="E44" s="202"/>
      <c r="F44" s="202"/>
      <c r="G44" s="202"/>
      <c r="H44" s="207"/>
      <c r="I44" s="209"/>
      <c r="J44" s="203"/>
      <c r="K44" s="205"/>
      <c r="L44" s="205"/>
      <c r="M44" s="205"/>
      <c r="N44" s="205"/>
      <c r="O44" s="205"/>
      <c r="U44" s="229"/>
    </row>
    <row r="45" spans="1:27" ht="15" customHeight="1" x14ac:dyDescent="0.2">
      <c r="C45" s="202"/>
      <c r="D45" s="202"/>
      <c r="E45" s="202"/>
      <c r="F45" s="202"/>
      <c r="G45" s="202"/>
      <c r="H45" s="207"/>
      <c r="I45" s="209"/>
      <c r="J45" s="203"/>
      <c r="K45" s="205"/>
      <c r="L45" s="205"/>
      <c r="M45" s="205"/>
      <c r="N45" s="205"/>
      <c r="O45" s="205"/>
      <c r="U45" s="229"/>
    </row>
    <row r="46" spans="1:27" ht="15" customHeight="1" x14ac:dyDescent="0.15">
      <c r="J46" s="228"/>
      <c r="M46" s="228"/>
      <c r="O46" s="228"/>
      <c r="U46" s="229"/>
    </row>
    <row r="47" spans="1:27" ht="15" customHeight="1" x14ac:dyDescent="0.15">
      <c r="J47" s="228"/>
      <c r="M47" s="228"/>
      <c r="O47" s="228"/>
      <c r="U47" s="229"/>
    </row>
    <row r="48" spans="1:27" ht="15" customHeight="1" x14ac:dyDescent="0.15">
      <c r="H48" s="219"/>
      <c r="U48" s="229"/>
    </row>
    <row r="49" spans="3:21" ht="15" customHeight="1" x14ac:dyDescent="0.15">
      <c r="H49" s="219"/>
      <c r="U49" s="229"/>
    </row>
    <row r="50" spans="3:21" ht="15" customHeight="1" x14ac:dyDescent="0.15">
      <c r="H50" s="219"/>
      <c r="U50" s="229"/>
    </row>
    <row r="51" spans="3:21" ht="15" customHeight="1" x14ac:dyDescent="0.15">
      <c r="H51" s="219"/>
      <c r="U51" s="229"/>
    </row>
    <row r="52" spans="3:21" ht="15" customHeight="1" x14ac:dyDescent="0.15">
      <c r="H52" s="219"/>
      <c r="U52" s="229"/>
    </row>
    <row r="53" spans="3:21" ht="15" customHeight="1" x14ac:dyDescent="0.15">
      <c r="H53" s="219"/>
      <c r="U53" s="229"/>
    </row>
    <row r="54" spans="3:21" ht="15" customHeight="1" x14ac:dyDescent="0.15">
      <c r="H54" s="219"/>
      <c r="U54" s="229"/>
    </row>
    <row r="55" spans="3:21" ht="15" customHeight="1" x14ac:dyDescent="0.15">
      <c r="H55" s="219"/>
      <c r="U55" s="229"/>
    </row>
    <row r="56" spans="3:21" ht="15" customHeight="1" x14ac:dyDescent="0.15">
      <c r="H56" s="219"/>
      <c r="U56" s="229"/>
    </row>
    <row r="57" spans="3:21" ht="15" customHeight="1" x14ac:dyDescent="0.15">
      <c r="C57" s="245"/>
      <c r="D57" s="245"/>
      <c r="E57" s="245"/>
      <c r="F57" s="245"/>
      <c r="G57" s="245"/>
      <c r="H57" s="245"/>
      <c r="U57" s="229"/>
    </row>
    <row r="58" spans="3:21" ht="15" customHeight="1" x14ac:dyDescent="0.15">
      <c r="U58" s="229"/>
    </row>
    <row r="59" spans="3:21" ht="15" customHeight="1" x14ac:dyDescent="0.15">
      <c r="U59" s="229"/>
    </row>
    <row r="60" spans="3:21" ht="15" customHeight="1" x14ac:dyDescent="0.15">
      <c r="U60" s="229"/>
    </row>
    <row r="61" spans="3:21" ht="15" customHeight="1" x14ac:dyDescent="0.15">
      <c r="U61" s="229"/>
    </row>
    <row r="62" spans="3:21" ht="15" customHeight="1" x14ac:dyDescent="0.15">
      <c r="U62" s="229"/>
    </row>
    <row r="63" spans="3:21" ht="15" customHeight="1" x14ac:dyDescent="0.15">
      <c r="U63" s="229"/>
    </row>
    <row r="64" spans="3:21" ht="15" customHeight="1" x14ac:dyDescent="0.15">
      <c r="U64" s="229"/>
    </row>
    <row r="65" spans="21:21" ht="15" customHeight="1" x14ac:dyDescent="0.15">
      <c r="U65" s="229"/>
    </row>
    <row r="66" spans="21:21" ht="15" customHeight="1" x14ac:dyDescent="0.15">
      <c r="U66" s="229"/>
    </row>
    <row r="67" spans="21:21" ht="15" customHeight="1" x14ac:dyDescent="0.15">
      <c r="U67" s="229"/>
    </row>
    <row r="68" spans="21:21" ht="15" customHeight="1" x14ac:dyDescent="0.15">
      <c r="U68" s="229"/>
    </row>
    <row r="69" spans="21:21" ht="15" customHeight="1" x14ac:dyDescent="0.15">
      <c r="U69" s="229"/>
    </row>
    <row r="70" spans="21:21" ht="15" customHeight="1" x14ac:dyDescent="0.15">
      <c r="U70" s="229"/>
    </row>
    <row r="71" spans="21:21" ht="15" customHeight="1" x14ac:dyDescent="0.15">
      <c r="U71" s="229"/>
    </row>
    <row r="72" spans="21:21" ht="15" customHeight="1" x14ac:dyDescent="0.15">
      <c r="U72" s="229"/>
    </row>
    <row r="73" spans="21:21" ht="15" customHeight="1" x14ac:dyDescent="0.15">
      <c r="U73" s="229"/>
    </row>
    <row r="74" spans="21:21" ht="15" customHeight="1" x14ac:dyDescent="0.15">
      <c r="U74" s="229"/>
    </row>
    <row r="75" spans="21:21" ht="15" customHeight="1" x14ac:dyDescent="0.15">
      <c r="U75" s="229"/>
    </row>
    <row r="76" spans="21:21" ht="15" customHeight="1" x14ac:dyDescent="0.15">
      <c r="U76" s="229"/>
    </row>
    <row r="77" spans="21:21" ht="15" customHeight="1" x14ac:dyDescent="0.15">
      <c r="U77" s="229"/>
    </row>
    <row r="78" spans="21:21" ht="15" customHeight="1" x14ac:dyDescent="0.15">
      <c r="U78" s="229"/>
    </row>
    <row r="79" spans="21:21" ht="15" customHeight="1" x14ac:dyDescent="0.15">
      <c r="U79" s="229"/>
    </row>
    <row r="80" spans="21: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sheetData>
  <protectedRanges>
    <protectedRange sqref="G40:G45 C40:C44 K45:O45" name="Full" securityDescriptor="O:WDG:WDD:(A;;CC;;;S-1-5-21-1993962763-879983540-839522115-1156)"/>
    <protectedRange sqref="C45:D45" name="Full_2" securityDescriptor="O:WDG:WDD:(A;;CC;;;S-1-5-21-1993962763-879983540-839522115-1156)"/>
    <protectedRange sqref="O10:O11 O27:O38 D30:E37 J27:J37 O25 H25:J25 I4:J7 I8:K8 H22:J23 F18:H19 D13:J17 O14:O23 C12:C13 I18:J21 D18:E23 D27 D28 D29" name="Estimating_2" securityDescriptor="O:WDG:WDD:(A;;CC;;;S-1-5-21-1993962763-879983540-839522115-1221)"/>
    <protectedRange sqref="D2:E2 C2:C6 D8:H8 G2:H7 D4:E7 N7:O7" name="Estimating_1_2" securityDescriptor="O:WDG:WDD:(A;;CC;;;S-1-5-21-1993962763-879983540-839522115-1221)"/>
    <protectedRange sqref="E9" name="Estimating_1_1_1" securityDescriptor="O:WDG:WDD:(A;;CC;;;S-1-5-21-1993962763-879983540-839522115-1221)"/>
    <protectedRange sqref="D3:E3" name="Estimating_1_3_2_1" securityDescriptor="O:WDG:WDD:(A;;CC;;;S-1-5-21-1993962763-879983540-839522115-1221)"/>
  </protectedRanges>
  <mergeCells count="14">
    <mergeCell ref="C26:H26"/>
    <mergeCell ref="F28:G28"/>
    <mergeCell ref="F32:G32"/>
    <mergeCell ref="P7:R7"/>
    <mergeCell ref="P29:Q29"/>
    <mergeCell ref="P30:R30"/>
    <mergeCell ref="P31:R31"/>
    <mergeCell ref="D7:E7"/>
    <mergeCell ref="H7:J7"/>
    <mergeCell ref="C1:D1"/>
    <mergeCell ref="D3:E3"/>
    <mergeCell ref="H3:J3"/>
    <mergeCell ref="D5:E5"/>
    <mergeCell ref="H5:J5"/>
  </mergeCells>
  <conditionalFormatting sqref="C9">
    <cfRule type="expression" dxfId="188" priority="27">
      <formula>C9="CURRENCY"</formula>
    </cfRule>
    <cfRule type="containsText" dxfId="187" priority="26" operator="containsText" text="SELECT">
      <formula>NOT(ISERROR(SEARCH("SELECT",C9)))</formula>
    </cfRule>
  </conditionalFormatting>
  <conditionalFormatting sqref="C14:C23">
    <cfRule type="expression" dxfId="186" priority="1">
      <formula>$J14&gt;0</formula>
    </cfRule>
  </conditionalFormatting>
  <conditionalFormatting sqref="C27:C37">
    <cfRule type="expression" dxfId="185" priority="10">
      <formula>$D27&gt;0</formula>
    </cfRule>
  </conditionalFormatting>
  <conditionalFormatting sqref="D27:D28 D30:D37">
    <cfRule type="cellIs" dxfId="184" priority="28" operator="lessThan">
      <formula>1</formula>
    </cfRule>
  </conditionalFormatting>
  <conditionalFormatting sqref="D29">
    <cfRule type="cellIs" dxfId="183" priority="23" operator="lessThan">
      <formula>1</formula>
    </cfRule>
  </conditionalFormatting>
  <conditionalFormatting sqref="D9:E9">
    <cfRule type="cellIs" dxfId="182" priority="24" operator="lessThan">
      <formula>0</formula>
    </cfRule>
    <cfRule type="cellIs" dxfId="181" priority="25" operator="greaterThan">
      <formula>0</formula>
    </cfRule>
  </conditionalFormatting>
  <conditionalFormatting sqref="F12">
    <cfRule type="cellIs" dxfId="180" priority="38" operator="greaterThan">
      <formula>2000</formula>
    </cfRule>
    <cfRule type="expression" dxfId="179" priority="37">
      <formula>ISNUMBER(SEARCH("I-MUAP",#REF!))</formula>
    </cfRule>
    <cfRule type="expression" dxfId="178" priority="36">
      <formula>AND((ISNUMBER(SEARCH("I-MUAP",#REF!))),F12&lt;2500)</formula>
    </cfRule>
  </conditionalFormatting>
  <conditionalFormatting sqref="F12:G12">
    <cfRule type="cellIs" dxfId="177" priority="29" operator="lessThan">
      <formula>1000</formula>
    </cfRule>
  </conditionalFormatting>
  <conditionalFormatting sqref="F14:G19">
    <cfRule type="cellIs" dxfId="176" priority="3" operator="lessThan">
      <formula>1000</formula>
    </cfRule>
  </conditionalFormatting>
  <conditionalFormatting sqref="G12">
    <cfRule type="cellIs" dxfId="175" priority="30" operator="greaterThan">
      <formula>3001</formula>
    </cfRule>
  </conditionalFormatting>
  <conditionalFormatting sqref="H11">
    <cfRule type="expression" dxfId="174" priority="39">
      <formula>((#REF!-50)/#REF!)&lt;950</formula>
    </cfRule>
  </conditionalFormatting>
  <conditionalFormatting sqref="H12">
    <cfRule type="expression" dxfId="173" priority="40">
      <formula>((#REF!-50)/#REF!)&lt;950</formula>
    </cfRule>
  </conditionalFormatting>
  <conditionalFormatting sqref="H14:H19">
    <cfRule type="cellIs" dxfId="172" priority="4" operator="lessThan">
      <formula>400</formula>
    </cfRule>
  </conditionalFormatting>
  <conditionalFormatting sqref="H24">
    <cfRule type="expression" dxfId="171" priority="35">
      <formula>((#REF!-50)/#REF!)&lt;950</formula>
    </cfRule>
  </conditionalFormatting>
  <conditionalFormatting sqref="J14:J21">
    <cfRule type="cellIs" dxfId="170" priority="15" operator="greaterThan">
      <formula>0</formula>
    </cfRule>
  </conditionalFormatting>
  <conditionalFormatting sqref="J27:J37">
    <cfRule type="expression" dxfId="169" priority="16">
      <formula>D27&gt;0</formula>
    </cfRule>
  </conditionalFormatting>
  <conditionalFormatting sqref="J39:J45">
    <cfRule type="expression" dxfId="168" priority="70">
      <formula>#REF!="EURO"</formula>
    </cfRule>
  </conditionalFormatting>
  <conditionalFormatting sqref="K14:K23 N14:O23">
    <cfRule type="cellIs" dxfId="167" priority="2" operator="greaterThan">
      <formula>0</formula>
    </cfRule>
  </conditionalFormatting>
  <conditionalFormatting sqref="K27:K37">
    <cfRule type="cellIs" dxfId="166" priority="22" operator="greaterThan">
      <formula>0</formula>
    </cfRule>
  </conditionalFormatting>
  <conditionalFormatting sqref="K39:K45">
    <cfRule type="expression" dxfId="165" priority="66">
      <formula>$C$9="PLN"</formula>
    </cfRule>
    <cfRule type="expression" dxfId="164" priority="67">
      <formula>$C$9="CZK"</formula>
    </cfRule>
    <cfRule type="expression" dxfId="163" priority="68">
      <formula>$C$9="USD"</formula>
    </cfRule>
    <cfRule type="expression" dxfId="162" priority="69">
      <formula>$C$9="EURO"</formula>
    </cfRule>
  </conditionalFormatting>
  <conditionalFormatting sqref="L14:L23">
    <cfRule type="expression" dxfId="161" priority="14">
      <formula>$D$9&gt;0</formula>
    </cfRule>
    <cfRule type="expression" dxfId="160" priority="13">
      <formula>$D$9&lt;0</formula>
    </cfRule>
  </conditionalFormatting>
  <conditionalFormatting sqref="L27:L37">
    <cfRule type="expression" dxfId="159" priority="12">
      <formula>$D$9&gt;0</formula>
    </cfRule>
    <cfRule type="expression" dxfId="158" priority="11">
      <formula>$D$9&lt;0</formula>
    </cfRule>
  </conditionalFormatting>
  <conditionalFormatting sqref="N9 N12">
    <cfRule type="expression" dxfId="157" priority="31">
      <formula>$C$9="PLN"</formula>
    </cfRule>
    <cfRule type="expression" dxfId="156" priority="32">
      <formula>$C$9="CZK"</formula>
    </cfRule>
    <cfRule type="expression" dxfId="155" priority="33">
      <formula>$C$9="USD"</formula>
    </cfRule>
    <cfRule type="expression" dxfId="154" priority="34">
      <formula>$C$9="EURO"</formula>
    </cfRule>
  </conditionalFormatting>
  <conditionalFormatting sqref="N14:N23">
    <cfRule type="expression" dxfId="153" priority="20">
      <formula>$C$9="EURO"</formula>
    </cfRule>
    <cfRule type="expression" dxfId="152" priority="19">
      <formula>$C$9="USD"</formula>
    </cfRule>
    <cfRule type="expression" dxfId="151" priority="18">
      <formula>$C$9="CZK"</formula>
    </cfRule>
    <cfRule type="expression" dxfId="150" priority="17">
      <formula>$C$9="PLN"</formula>
    </cfRule>
  </conditionalFormatting>
  <conditionalFormatting sqref="N26:N37">
    <cfRule type="expression" dxfId="149" priority="6">
      <formula>$C$9="PLN"</formula>
    </cfRule>
    <cfRule type="expression" dxfId="148" priority="7">
      <formula>$C$9="CZK"</formula>
    </cfRule>
    <cfRule type="expression" dxfId="147" priority="9">
      <formula>$C$9="EURO"</formula>
    </cfRule>
    <cfRule type="expression" dxfId="146" priority="8">
      <formula>$C$9="USD"</formula>
    </cfRule>
  </conditionalFormatting>
  <conditionalFormatting sqref="N27:O37">
    <cfRule type="cellIs" dxfId="145" priority="5" operator="greaterThan">
      <formula>0</formula>
    </cfRule>
  </conditionalFormatting>
  <dataValidations count="3">
    <dataValidation operator="greaterThan" allowBlank="1" showInputMessage="1" showErrorMessage="1" sqref="F14:F19" xr:uid="{F9836754-13E3-4A54-96D8-0CA09A22D645}"/>
    <dataValidation type="list" allowBlank="1" showInputMessage="1" showErrorMessage="1" sqref="E14:E23" xr:uid="{9E7970CA-C33C-4BFF-81C8-5EAFC7C4E2A7}">
      <formula1>"0,1,2,3,4,5,6,7,8,9,10,11,12,13,14,15,16,17,18,19,20"</formula1>
    </dataValidation>
    <dataValidation type="list" allowBlank="1" showInputMessage="1" showErrorMessage="1" sqref="H25" xr:uid="{5420537D-F113-4E64-800F-DBE0C8360E8F}">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50C22C5-A912-4265-8B32-84A6CC6974F1}">
          <x14:formula1>
            <xm:f>'Base Costs'!$E$4:$E$213</xm:f>
          </x14:formula1>
          <xm:sqref>E27</xm:sqref>
        </x14:dataValidation>
        <x14:dataValidation type="list" allowBlank="1" showInputMessage="1" showErrorMessage="1" xr:uid="{237FAD24-5577-47EF-981F-782C2711646B}">
          <x14:formula1>
            <xm:f>'Base Costs'!$A$4:$A$16</xm:f>
          </x14:formula1>
          <xm:sqref>E28:E29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tint="0.79998168889431442"/>
    <pageSetUpPr fitToPage="1"/>
  </sheetPr>
  <dimension ref="A1:AD160"/>
  <sheetViews>
    <sheetView showGridLines="0" zoomScale="80" zoomScaleNormal="80" zoomScaleSheetLayoutView="50" workbookViewId="0">
      <selection activeCell="O1" sqref="O1"/>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83203125" style="228" bestFit="1" customWidth="1"/>
    <col min="13" max="13" width="1.33203125" style="346" hidden="1" customWidth="1"/>
    <col min="14" max="14" width="14.5" style="348" bestFit="1" customWidth="1"/>
    <col min="15" max="15" width="13.6640625" style="14" bestFit="1" customWidth="1"/>
    <col min="16"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65" t="s">
        <v>1473</v>
      </c>
      <c r="D1" s="1165"/>
      <c r="E1" s="216"/>
      <c r="F1" s="216"/>
      <c r="G1" s="216"/>
      <c r="H1" s="216"/>
      <c r="I1" s="29"/>
      <c r="J1" s="336"/>
      <c r="K1" s="337"/>
      <c r="L1" s="338"/>
      <c r="M1" s="339"/>
      <c r="N1" s="336"/>
      <c r="O1" s="981" t="s">
        <v>1478</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728</v>
      </c>
      <c r="D3" s="1155" t="str">
        <f>IF(CANOPY!C3="","",CANOPY!C3)</f>
        <v/>
      </c>
      <c r="E3" s="1155"/>
      <c r="G3" s="76" t="s">
        <v>75</v>
      </c>
      <c r="H3" s="1081" t="str">
        <f>IF(CANOPY!G3="","",CANOPY!G3)</f>
        <v/>
      </c>
      <c r="I3" s="1081"/>
      <c r="J3" s="1081"/>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72</v>
      </c>
      <c r="D5" s="1080" t="str">
        <f>IF(CANOPY!C5="","",CANOPY!C5)</f>
        <v/>
      </c>
      <c r="E5" s="1080"/>
      <c r="G5" s="76" t="s">
        <v>74</v>
      </c>
      <c r="H5" s="1081" t="str">
        <f>IF(CANOPY!G5="","",CANOPY!G5)</f>
        <v/>
      </c>
      <c r="I5" s="1081"/>
      <c r="J5" s="1081"/>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729</v>
      </c>
      <c r="D7" s="1080" t="str">
        <f>IF(CANOPY!C7="","",CANOPY!C7)</f>
        <v/>
      </c>
      <c r="E7" s="1080"/>
      <c r="G7" s="76" t="s">
        <v>73</v>
      </c>
      <c r="H7" s="1083" t="str">
        <f>IF(CANOPY!G7="","",CANOPY!G7)</f>
        <v/>
      </c>
      <c r="I7" s="1083"/>
      <c r="J7" s="1083"/>
      <c r="N7" s="347" t="s">
        <v>76</v>
      </c>
      <c r="O7" s="907" t="str">
        <f>IF(CANOPY!O7="","",CANOPY!O7)</f>
        <v/>
      </c>
      <c r="P7" s="1173" t="s">
        <v>1370</v>
      </c>
      <c r="Q7" s="1173"/>
      <c r="R7" s="1173"/>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348</v>
      </c>
      <c r="D9" s="956">
        <v>0</v>
      </c>
      <c r="E9" s="377">
        <f>IF(D9=0,0,(SUBTOTAL(9,M14:M47)/(1-D9))-M9)</f>
        <v>0</v>
      </c>
      <c r="I9" s="234"/>
      <c r="K9" s="25">
        <f>SUBTOTAL(9,K12:K47)</f>
        <v>50</v>
      </c>
      <c r="L9" s="976">
        <f>IF(O9=0,"-",O9/M9)</f>
        <v>0.43999999999999995</v>
      </c>
      <c r="M9" s="25">
        <f>SUBTOTAL(9,M12:M47)</f>
        <v>89.285714285714278</v>
      </c>
      <c r="N9" s="464">
        <f>SUBTOTAL(9,N12:N47)</f>
        <v>89.285714285714278</v>
      </c>
      <c r="O9" s="25">
        <f>SUBTOTAL(9,O12:O47)</f>
        <v>39.285714285714278</v>
      </c>
      <c r="P9" s="217"/>
      <c r="Q9" s="217"/>
      <c r="R9" s="217"/>
      <c r="S9" s="217"/>
      <c r="T9" s="217"/>
      <c r="U9" s="217"/>
      <c r="V9" s="217"/>
      <c r="Z9" s="217"/>
      <c r="AA9" s="217"/>
      <c r="AB9" s="217"/>
    </row>
    <row r="10" spans="1:28" s="80" customFormat="1" ht="15" customHeight="1" x14ac:dyDescent="0.15">
      <c r="A10" s="215"/>
      <c r="B10" s="215"/>
      <c r="C10" s="6" t="s">
        <v>348</v>
      </c>
      <c r="D10" s="6" t="s">
        <v>537</v>
      </c>
      <c r="E10" s="6" t="s">
        <v>536</v>
      </c>
      <c r="F10" s="6"/>
      <c r="G10" s="6"/>
      <c r="H10" s="6"/>
      <c r="I10" s="6"/>
      <c r="J10" s="1" t="s">
        <v>204</v>
      </c>
      <c r="K10" s="2" t="s">
        <v>34</v>
      </c>
      <c r="L10" s="3" t="s">
        <v>141</v>
      </c>
      <c r="M10" s="4" t="s">
        <v>127</v>
      </c>
      <c r="N10" s="1" t="s">
        <v>205</v>
      </c>
      <c r="O10" s="5" t="s">
        <v>206</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347</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604</v>
      </c>
      <c r="D12" s="236"/>
      <c r="E12" s="237">
        <f>E14</f>
        <v>0</v>
      </c>
      <c r="F12" s="845">
        <v>0</v>
      </c>
      <c r="G12" s="845">
        <f>IF(I12&lt;1,0,CEILING((G14-100)/I14,250))</f>
        <v>0</v>
      </c>
      <c r="H12" s="237" t="str">
        <f>E12&amp;G12&amp;F12</f>
        <v>000</v>
      </c>
      <c r="I12" s="236">
        <f>IF(F14=0,0,IF(G14=0,0,(F14/(IF(D14="WALL",F14,(F14/2)))*I14)))</f>
        <v>0</v>
      </c>
      <c r="J12" s="238"/>
      <c r="K12" s="154">
        <f>SUBTOTAL(9,K14:K33)</f>
        <v>50</v>
      </c>
      <c r="L12" s="15" t="str">
        <f>IF(K14=0,"-",O12/M12)</f>
        <v>-</v>
      </c>
      <c r="M12" s="154">
        <f>SUBTOTAL(9,M14:M31)</f>
        <v>89.285714285714278</v>
      </c>
      <c r="N12" s="464">
        <f>SUBTOTAL(9,N14:N33)</f>
        <v>89.285714285714278</v>
      </c>
      <c r="O12" s="154">
        <f>SUBTOTAL(9,O14:O33)</f>
        <v>39.285714285714278</v>
      </c>
      <c r="P12" s="217"/>
      <c r="Q12" s="217"/>
      <c r="R12" s="217"/>
      <c r="S12" s="217"/>
      <c r="T12" s="217"/>
      <c r="U12" s="235"/>
      <c r="V12" s="217"/>
      <c r="Z12" s="217"/>
      <c r="AA12" s="217"/>
      <c r="AB12" s="217"/>
    </row>
    <row r="13" spans="1:28" ht="15" customHeight="1" x14ac:dyDescent="0.15">
      <c r="C13" s="7"/>
      <c r="D13" s="10" t="s">
        <v>198</v>
      </c>
      <c r="E13" s="27" t="s">
        <v>972</v>
      </c>
      <c r="F13" s="10" t="s">
        <v>128</v>
      </c>
      <c r="G13" s="10" t="s">
        <v>129</v>
      </c>
      <c r="H13" s="10" t="s">
        <v>172</v>
      </c>
      <c r="I13" s="10" t="s">
        <v>197</v>
      </c>
      <c r="J13" s="349"/>
      <c r="K13" s="350"/>
      <c r="L13" s="350"/>
      <c r="M13" s="351"/>
      <c r="N13" s="352"/>
      <c r="O13" s="5"/>
      <c r="U13" s="229"/>
      <c r="AA13" s="217"/>
    </row>
    <row r="14" spans="1:28" ht="15" customHeight="1" x14ac:dyDescent="0.2">
      <c r="A14" s="215">
        <v>210</v>
      </c>
      <c r="C14" s="864" t="s">
        <v>1067</v>
      </c>
      <c r="D14" s="460" t="s">
        <v>1072</v>
      </c>
      <c r="E14" s="448">
        <v>0</v>
      </c>
      <c r="F14" s="844">
        <v>880</v>
      </c>
      <c r="G14" s="842">
        <v>685</v>
      </c>
      <c r="H14" s="903">
        <v>2050</v>
      </c>
      <c r="I14" s="31"/>
      <c r="J14" s="380">
        <v>5142.7</v>
      </c>
      <c r="K14" s="378">
        <f>SUM(J14*E14)</f>
        <v>0</v>
      </c>
      <c r="L14" s="904">
        <v>0.66520429999999997</v>
      </c>
      <c r="M14" s="311">
        <f t="shared" ref="M14:M31" si="0">(K14/(1-L14))*(1+$D$9)</f>
        <v>0</v>
      </c>
      <c r="N14" s="378">
        <f>(M14*VLOOKUP($C$9,'Base Costs'!$A$32:$B$37,2,FALSE))</f>
        <v>0</v>
      </c>
      <c r="O14" s="379">
        <f t="shared" ref="O14:O31" si="1">M14-K14</f>
        <v>0</v>
      </c>
      <c r="U14" s="229"/>
      <c r="AA14" s="217"/>
    </row>
    <row r="15" spans="1:28" ht="15" customHeight="1" x14ac:dyDescent="0.2">
      <c r="A15" s="215">
        <v>104</v>
      </c>
      <c r="C15" s="864" t="s">
        <v>1068</v>
      </c>
      <c r="D15" s="460" t="s">
        <v>1079</v>
      </c>
      <c r="E15" s="448">
        <v>0</v>
      </c>
      <c r="F15" s="902">
        <v>1100</v>
      </c>
      <c r="G15" s="842">
        <v>850</v>
      </c>
      <c r="H15" s="903">
        <v>2050</v>
      </c>
      <c r="I15" s="31"/>
      <c r="J15" s="380">
        <v>5454.18</v>
      </c>
      <c r="K15" s="378">
        <f t="shared" ref="K15:K33" si="2">SUM(J15*E15)</f>
        <v>0</v>
      </c>
      <c r="L15" s="904">
        <v>0.71081799999999995</v>
      </c>
      <c r="M15" s="311">
        <f t="shared" si="0"/>
        <v>0</v>
      </c>
      <c r="N15" s="378">
        <f>(M15*VLOOKUP($C$9,'Base Costs'!$A$32:$B$37,2,FALSE))</f>
        <v>0</v>
      </c>
      <c r="O15" s="379">
        <f t="shared" si="1"/>
        <v>0</v>
      </c>
      <c r="U15" s="229"/>
      <c r="AA15" s="217"/>
    </row>
    <row r="16" spans="1:28" ht="15" customHeight="1" x14ac:dyDescent="0.2">
      <c r="A16" s="215">
        <v>234</v>
      </c>
      <c r="C16" s="864" t="s">
        <v>1069</v>
      </c>
      <c r="D16" s="460" t="s">
        <v>1080</v>
      </c>
      <c r="E16" s="461">
        <v>0</v>
      </c>
      <c r="F16" s="902">
        <v>1500</v>
      </c>
      <c r="G16" s="842">
        <v>700</v>
      </c>
      <c r="H16" s="903">
        <v>1900</v>
      </c>
      <c r="I16" s="31"/>
      <c r="J16" s="380">
        <v>6833.44</v>
      </c>
      <c r="K16" s="378">
        <f t="shared" si="2"/>
        <v>0</v>
      </c>
      <c r="L16" s="904">
        <v>0.6930269</v>
      </c>
      <c r="M16" s="311">
        <f t="shared" si="0"/>
        <v>0</v>
      </c>
      <c r="N16" s="378">
        <f>(M16*VLOOKUP($C$9,'Base Costs'!$A$32:$B$37,2,FALSE))</f>
        <v>0</v>
      </c>
      <c r="O16" s="379">
        <f t="shared" si="1"/>
        <v>0</v>
      </c>
      <c r="U16" s="229"/>
      <c r="AA16" s="217"/>
    </row>
    <row r="17" spans="1:27" ht="15" customHeight="1" x14ac:dyDescent="0.2">
      <c r="C17" s="864" t="s">
        <v>1070</v>
      </c>
      <c r="D17" s="460" t="s">
        <v>1081</v>
      </c>
      <c r="E17" s="448">
        <v>0</v>
      </c>
      <c r="F17" s="902">
        <v>1540</v>
      </c>
      <c r="G17" s="902">
        <v>1130</v>
      </c>
      <c r="H17" s="903">
        <v>1900</v>
      </c>
      <c r="I17" s="31"/>
      <c r="J17" s="380">
        <v>7481.11</v>
      </c>
      <c r="K17" s="378">
        <f t="shared" si="2"/>
        <v>0</v>
      </c>
      <c r="L17" s="904">
        <v>0.72757050000000001</v>
      </c>
      <c r="M17" s="311">
        <f t="shared" si="0"/>
        <v>0</v>
      </c>
      <c r="N17" s="378">
        <f>(M17*VLOOKUP($C$9,'Base Costs'!$A$32:$B$37,2,FALSE))</f>
        <v>0</v>
      </c>
      <c r="O17" s="379">
        <f t="shared" si="1"/>
        <v>0</v>
      </c>
      <c r="U17" s="229"/>
      <c r="AA17" s="217"/>
    </row>
    <row r="18" spans="1:27" ht="15" customHeight="1" x14ac:dyDescent="0.2">
      <c r="C18" s="864" t="s">
        <v>1071</v>
      </c>
      <c r="D18" s="460" t="s">
        <v>1082</v>
      </c>
      <c r="E18" s="448">
        <v>0</v>
      </c>
      <c r="F18" s="902">
        <v>1540</v>
      </c>
      <c r="G18" s="902">
        <v>1430</v>
      </c>
      <c r="H18" s="903">
        <v>1900</v>
      </c>
      <c r="I18" s="31"/>
      <c r="J18" s="380">
        <v>8873.69</v>
      </c>
      <c r="K18" s="378">
        <f t="shared" si="2"/>
        <v>0</v>
      </c>
      <c r="L18" s="904">
        <v>0.69253390000000004</v>
      </c>
      <c r="M18" s="311">
        <f t="shared" si="0"/>
        <v>0</v>
      </c>
      <c r="N18" s="378">
        <f>(M18*VLOOKUP($C$9,'Base Costs'!$A$32:$B$37,2,FALSE))</f>
        <v>0</v>
      </c>
      <c r="O18" s="379">
        <f t="shared" si="1"/>
        <v>0</v>
      </c>
      <c r="U18" s="229"/>
      <c r="AA18" s="217"/>
    </row>
    <row r="19" spans="1:27" ht="15" customHeight="1" x14ac:dyDescent="0.2">
      <c r="C19" s="269" t="s">
        <v>1381</v>
      </c>
      <c r="D19" s="460" t="s">
        <v>1083</v>
      </c>
      <c r="E19" s="448">
        <v>0</v>
      </c>
      <c r="F19" s="902">
        <v>1540</v>
      </c>
      <c r="G19" s="902">
        <v>1815</v>
      </c>
      <c r="H19" s="903">
        <v>1900</v>
      </c>
      <c r="I19" s="31"/>
      <c r="J19" s="380">
        <v>13636.4</v>
      </c>
      <c r="K19" s="378">
        <f t="shared" si="2"/>
        <v>0</v>
      </c>
      <c r="L19" s="904">
        <v>0.68838719999999998</v>
      </c>
      <c r="M19" s="311">
        <f t="shared" si="0"/>
        <v>0</v>
      </c>
      <c r="N19" s="378">
        <f>(M19*VLOOKUP($C$9,'Base Costs'!$A$32:$B$37,2,FALSE))</f>
        <v>0</v>
      </c>
      <c r="O19" s="379">
        <f t="shared" si="1"/>
        <v>0</v>
      </c>
      <c r="U19" s="229"/>
      <c r="AA19" s="217"/>
    </row>
    <row r="20" spans="1:27" ht="15" customHeight="1" x14ac:dyDescent="0.2">
      <c r="C20" s="270" t="s">
        <v>1382</v>
      </c>
      <c r="D20" s="460" t="s">
        <v>1084</v>
      </c>
      <c r="E20" s="448">
        <v>0</v>
      </c>
      <c r="F20" s="902">
        <v>1540</v>
      </c>
      <c r="G20" s="902">
        <v>2115</v>
      </c>
      <c r="H20" s="903">
        <v>1900</v>
      </c>
      <c r="I20" s="31"/>
      <c r="J20" s="380">
        <v>14380.23</v>
      </c>
      <c r="K20" s="378">
        <f t="shared" si="2"/>
        <v>0</v>
      </c>
      <c r="L20" s="904">
        <v>0.70009949999999999</v>
      </c>
      <c r="M20" s="311">
        <f t="shared" si="0"/>
        <v>0</v>
      </c>
      <c r="N20" s="378">
        <f>(M20*VLOOKUP($C$9,'Base Costs'!$A$32:$B$37,2,FALSE))</f>
        <v>0</v>
      </c>
      <c r="O20" s="379">
        <f t="shared" si="1"/>
        <v>0</v>
      </c>
      <c r="U20" s="229"/>
      <c r="AA20" s="217"/>
    </row>
    <row r="21" spans="1:27" ht="15" customHeight="1" x14ac:dyDescent="0.2">
      <c r="A21" s="215">
        <v>289</v>
      </c>
      <c r="C21" s="791" t="s">
        <v>1383</v>
      </c>
      <c r="D21" s="460" t="s">
        <v>1085</v>
      </c>
      <c r="E21" s="448">
        <v>0</v>
      </c>
      <c r="F21" s="902">
        <v>1540</v>
      </c>
      <c r="G21" s="902">
        <v>2500</v>
      </c>
      <c r="H21" s="903">
        <v>1900</v>
      </c>
      <c r="I21" s="31"/>
      <c r="J21" s="380">
        <v>15656.09</v>
      </c>
      <c r="K21" s="378">
        <f t="shared" si="2"/>
        <v>0</v>
      </c>
      <c r="L21" s="904">
        <v>0.70598890000000003</v>
      </c>
      <c r="M21" s="311">
        <f t="shared" si="0"/>
        <v>0</v>
      </c>
      <c r="N21" s="378">
        <f>(M21*VLOOKUP($C$9,'Base Costs'!$A$32:$B$37,2,FALSE))</f>
        <v>0</v>
      </c>
      <c r="O21" s="379">
        <f t="shared" si="1"/>
        <v>0</v>
      </c>
      <c r="U21" s="229"/>
      <c r="AA21" s="217"/>
    </row>
    <row r="22" spans="1:27" ht="15" customHeight="1" x14ac:dyDescent="0.2">
      <c r="A22" s="215">
        <v>242</v>
      </c>
      <c r="C22" s="791" t="s">
        <v>1384</v>
      </c>
      <c r="D22" s="460" t="s">
        <v>1086</v>
      </c>
      <c r="E22" s="448">
        <v>0</v>
      </c>
      <c r="F22" s="902">
        <v>1540</v>
      </c>
      <c r="G22" s="902">
        <v>2800</v>
      </c>
      <c r="H22" s="903">
        <v>1900</v>
      </c>
      <c r="I22" s="31"/>
      <c r="J22" s="380">
        <v>16792.07</v>
      </c>
      <c r="K22" s="378">
        <f t="shared" si="2"/>
        <v>0</v>
      </c>
      <c r="L22" s="904">
        <v>0.71417755000000005</v>
      </c>
      <c r="M22" s="311">
        <f t="shared" si="0"/>
        <v>0</v>
      </c>
      <c r="N22" s="378">
        <f>(M22*VLOOKUP($C$9,'Base Costs'!$A$32:$B$37,2,FALSE))</f>
        <v>0</v>
      </c>
      <c r="O22" s="379">
        <f t="shared" si="1"/>
        <v>0</v>
      </c>
      <c r="U22" s="229"/>
      <c r="AA22" s="217"/>
    </row>
    <row r="23" spans="1:27" ht="15" customHeight="1" x14ac:dyDescent="0.2">
      <c r="A23" s="215">
        <v>220</v>
      </c>
      <c r="C23" s="864" t="s">
        <v>1087</v>
      </c>
      <c r="D23" s="460" t="s">
        <v>1073</v>
      </c>
      <c r="E23" s="448">
        <v>0</v>
      </c>
      <c r="F23" s="844">
        <v>880</v>
      </c>
      <c r="G23" s="902">
        <v>2000</v>
      </c>
      <c r="H23" s="903">
        <v>700</v>
      </c>
      <c r="I23" s="31"/>
      <c r="J23" s="380">
        <v>5656.97</v>
      </c>
      <c r="K23" s="378">
        <f t="shared" si="2"/>
        <v>0</v>
      </c>
      <c r="L23" s="392">
        <v>0.66520429999999997</v>
      </c>
      <c r="M23" s="311">
        <f t="shared" si="0"/>
        <v>0</v>
      </c>
      <c r="N23" s="378">
        <f>(M23*VLOOKUP($C$9,'Base Costs'!$A$32:$B$37,2,FALSE))</f>
        <v>0</v>
      </c>
      <c r="O23" s="379">
        <f t="shared" si="1"/>
        <v>0</v>
      </c>
      <c r="U23" s="229"/>
      <c r="AA23" s="217"/>
    </row>
    <row r="24" spans="1:27" ht="15" customHeight="1" x14ac:dyDescent="0.2">
      <c r="A24" s="215">
        <v>103</v>
      </c>
      <c r="C24" s="864" t="s">
        <v>1089</v>
      </c>
      <c r="D24" s="460" t="s">
        <v>1074</v>
      </c>
      <c r="E24" s="448">
        <v>0</v>
      </c>
      <c r="F24" s="844">
        <v>850</v>
      </c>
      <c r="G24" s="902">
        <v>2000</v>
      </c>
      <c r="H24" s="903">
        <v>1100</v>
      </c>
      <c r="I24" s="31"/>
      <c r="J24" s="380">
        <v>5999.6</v>
      </c>
      <c r="K24" s="378">
        <f t="shared" si="2"/>
        <v>0</v>
      </c>
      <c r="L24" s="392">
        <v>0.71081799999999995</v>
      </c>
      <c r="M24" s="311">
        <f t="shared" si="0"/>
        <v>0</v>
      </c>
      <c r="N24" s="378">
        <f>(M24*VLOOKUP($C$9,'Base Costs'!$A$32:$B$37,2,FALSE))</f>
        <v>0</v>
      </c>
      <c r="O24" s="379">
        <f t="shared" si="1"/>
        <v>0</v>
      </c>
      <c r="U24" s="229"/>
      <c r="AA24" s="217"/>
    </row>
    <row r="25" spans="1:27" ht="15" customHeight="1" x14ac:dyDescent="0.2">
      <c r="A25" s="215">
        <v>103</v>
      </c>
      <c r="C25" s="864" t="s">
        <v>1088</v>
      </c>
      <c r="D25" s="460" t="s">
        <v>1075</v>
      </c>
      <c r="E25" s="448">
        <v>0</v>
      </c>
      <c r="F25" s="844">
        <v>750</v>
      </c>
      <c r="G25" s="902">
        <v>3480</v>
      </c>
      <c r="H25" s="903">
        <v>700</v>
      </c>
      <c r="I25" s="31"/>
      <c r="J25" s="380">
        <v>7516.78</v>
      </c>
      <c r="K25" s="378">
        <f t="shared" si="2"/>
        <v>0</v>
      </c>
      <c r="L25" s="904">
        <v>0.6930269</v>
      </c>
      <c r="M25" s="311">
        <f t="shared" si="0"/>
        <v>0</v>
      </c>
      <c r="N25" s="378">
        <f>(M25*VLOOKUP($C$9,'Base Costs'!$A$32:$B$37,2,FALSE))</f>
        <v>0</v>
      </c>
      <c r="O25" s="379">
        <f t="shared" si="1"/>
        <v>0</v>
      </c>
      <c r="U25" s="229"/>
      <c r="AA25" s="217"/>
    </row>
    <row r="26" spans="1:27" ht="15" customHeight="1" x14ac:dyDescent="0.2">
      <c r="C26" s="864" t="s">
        <v>1090</v>
      </c>
      <c r="D26" s="460" t="s">
        <v>1076</v>
      </c>
      <c r="E26" s="448">
        <v>0</v>
      </c>
      <c r="F26" s="902">
        <v>1130</v>
      </c>
      <c r="G26" s="902">
        <v>3480</v>
      </c>
      <c r="H26" s="903">
        <v>770</v>
      </c>
      <c r="I26" s="31"/>
      <c r="J26" s="380">
        <v>8229.2199999999993</v>
      </c>
      <c r="K26" s="378">
        <f t="shared" si="2"/>
        <v>0</v>
      </c>
      <c r="L26" s="904">
        <v>0.72757050000000001</v>
      </c>
      <c r="M26" s="311">
        <f t="shared" si="0"/>
        <v>0</v>
      </c>
      <c r="N26" s="378">
        <f>(M26*VLOOKUP($C$9,'Base Costs'!$A$32:$B$37,2,FALSE))</f>
        <v>0</v>
      </c>
      <c r="O26" s="379">
        <f t="shared" si="1"/>
        <v>0</v>
      </c>
      <c r="U26" s="229"/>
      <c r="AA26" s="217"/>
    </row>
    <row r="27" spans="1:27" ht="15" customHeight="1" x14ac:dyDescent="0.15">
      <c r="A27" s="215">
        <v>285</v>
      </c>
      <c r="C27" s="864" t="s">
        <v>1091</v>
      </c>
      <c r="D27" s="460" t="s">
        <v>1077</v>
      </c>
      <c r="E27" s="448">
        <v>0</v>
      </c>
      <c r="F27" s="905">
        <v>1430</v>
      </c>
      <c r="G27" s="905">
        <v>3480</v>
      </c>
      <c r="H27" s="906">
        <v>770</v>
      </c>
      <c r="I27" s="31"/>
      <c r="J27" s="380">
        <v>9761.06</v>
      </c>
      <c r="K27" s="378">
        <f t="shared" si="2"/>
        <v>0</v>
      </c>
      <c r="L27" s="904">
        <v>0.69253390000000004</v>
      </c>
      <c r="M27" s="311">
        <f t="shared" si="0"/>
        <v>0</v>
      </c>
      <c r="N27" s="378">
        <f>(M27*VLOOKUP($C$9,'Base Costs'!$A$32:$B$37,2,FALSE))</f>
        <v>0</v>
      </c>
      <c r="O27" s="379">
        <f t="shared" si="1"/>
        <v>0</v>
      </c>
      <c r="U27" s="229"/>
      <c r="AA27" s="217"/>
    </row>
    <row r="28" spans="1:27" ht="15" customHeight="1" x14ac:dyDescent="0.15">
      <c r="C28" s="864" t="s">
        <v>1385</v>
      </c>
      <c r="D28" s="460" t="s">
        <v>1078</v>
      </c>
      <c r="E28" s="448">
        <v>0</v>
      </c>
      <c r="F28" s="905">
        <v>2030</v>
      </c>
      <c r="G28" s="905">
        <v>3480</v>
      </c>
      <c r="H28" s="906">
        <v>770</v>
      </c>
      <c r="I28" s="31"/>
      <c r="J28" s="380">
        <v>15000.04</v>
      </c>
      <c r="K28" s="378">
        <f t="shared" si="2"/>
        <v>0</v>
      </c>
      <c r="L28" s="904">
        <v>0.68838719999999998</v>
      </c>
      <c r="M28" s="311">
        <f t="shared" si="0"/>
        <v>0</v>
      </c>
      <c r="N28" s="378">
        <f>(M28*VLOOKUP($C$9,'Base Costs'!$A$32:$B$37,2,FALSE))</f>
        <v>0</v>
      </c>
      <c r="O28" s="379">
        <f t="shared" si="1"/>
        <v>0</v>
      </c>
      <c r="U28" s="229"/>
      <c r="AA28" s="217"/>
    </row>
    <row r="29" spans="1:27" ht="16" x14ac:dyDescent="0.15">
      <c r="C29" s="943" t="s">
        <v>1368</v>
      </c>
      <c r="D29" s="1031" t="s">
        <v>1367</v>
      </c>
      <c r="E29" s="1032">
        <v>1</v>
      </c>
      <c r="F29" s="1033"/>
      <c r="G29" s="1033"/>
      <c r="H29" s="1034"/>
      <c r="I29" s="1035"/>
      <c r="J29" s="1001">
        <v>50</v>
      </c>
      <c r="K29" s="1002">
        <f t="shared" si="2"/>
        <v>50</v>
      </c>
      <c r="L29" s="1036">
        <v>0.44</v>
      </c>
      <c r="M29" s="1004">
        <f t="shared" ref="M29" si="3">(K29/(1-L29))*(1+$D$9)</f>
        <v>89.285714285714278</v>
      </c>
      <c r="N29" s="1002">
        <f>(M29*VLOOKUP($C$9,'Base Costs'!$A$32:$B$37,2,FALSE))</f>
        <v>89.285714285714278</v>
      </c>
      <c r="O29" s="1005">
        <f t="shared" ref="O29" si="4">M29-K29</f>
        <v>39.285714285714278</v>
      </c>
      <c r="P29" s="1182" t="s">
        <v>1360</v>
      </c>
      <c r="Q29" s="1182"/>
      <c r="U29" s="229"/>
      <c r="AA29" s="217"/>
    </row>
    <row r="30" spans="1:27" ht="16" x14ac:dyDescent="0.2">
      <c r="C30" s="270" t="s">
        <v>1354</v>
      </c>
      <c r="D30" s="962" t="s">
        <v>1359</v>
      </c>
      <c r="E30" s="448">
        <v>0</v>
      </c>
      <c r="F30" s="902"/>
      <c r="G30" s="902"/>
      <c r="H30" s="903"/>
      <c r="I30" s="31"/>
      <c r="J30" s="380">
        <v>988.94</v>
      </c>
      <c r="K30" s="378">
        <f t="shared" si="2"/>
        <v>0</v>
      </c>
      <c r="L30" s="392">
        <v>0.35</v>
      </c>
      <c r="M30" s="311">
        <f t="shared" si="0"/>
        <v>0</v>
      </c>
      <c r="N30" s="378">
        <f>(M30*VLOOKUP($C$9,'Base Costs'!$A$32:$B$37,2,FALSE))</f>
        <v>0</v>
      </c>
      <c r="O30" s="379">
        <f t="shared" si="1"/>
        <v>0</v>
      </c>
      <c r="P30" s="1183" t="s">
        <v>1380</v>
      </c>
      <c r="Q30" s="1183"/>
      <c r="R30" s="1183"/>
      <c r="U30" s="229"/>
      <c r="AA30" s="217"/>
    </row>
    <row r="31" spans="1:27" ht="15" customHeight="1" x14ac:dyDescent="0.2">
      <c r="A31" s="215">
        <v>286</v>
      </c>
      <c r="C31" s="270" t="s">
        <v>1357</v>
      </c>
      <c r="D31" s="962" t="s">
        <v>1358</v>
      </c>
      <c r="E31" s="448">
        <v>0</v>
      </c>
      <c r="F31" s="902"/>
      <c r="G31" s="902"/>
      <c r="H31" s="903"/>
      <c r="I31" s="31"/>
      <c r="J31" s="380">
        <v>388.67</v>
      </c>
      <c r="K31" s="378">
        <f t="shared" si="2"/>
        <v>0</v>
      </c>
      <c r="L31" s="392">
        <v>0.35</v>
      </c>
      <c r="M31" s="311">
        <f t="shared" si="0"/>
        <v>0</v>
      </c>
      <c r="N31" s="378">
        <f>(M31*VLOOKUP($C$9,'Base Costs'!$A$32:$B$37,2,FALSE))</f>
        <v>0</v>
      </c>
      <c r="O31" s="379">
        <f t="shared" si="1"/>
        <v>0</v>
      </c>
      <c r="P31" s="1183" t="s">
        <v>1380</v>
      </c>
      <c r="Q31" s="1183"/>
      <c r="R31" s="1183"/>
      <c r="U31" s="229"/>
      <c r="AA31" s="217"/>
    </row>
    <row r="32" spans="1:27" ht="15" customHeight="1" x14ac:dyDescent="0.15">
      <c r="C32" s="269"/>
      <c r="D32" s="460"/>
      <c r="E32" s="448">
        <v>0</v>
      </c>
      <c r="F32" s="462"/>
      <c r="G32" s="32"/>
      <c r="H32" s="30"/>
      <c r="I32" s="31"/>
      <c r="J32" s="938"/>
      <c r="K32" s="378">
        <f t="shared" si="2"/>
        <v>0</v>
      </c>
      <c r="L32" s="392">
        <v>0.435</v>
      </c>
      <c r="M32" s="311">
        <f>(K32/(1-L32))*(1+$D$9)</f>
        <v>0</v>
      </c>
      <c r="N32" s="378">
        <f>(M32*VLOOKUP($C$9,'Base Costs'!$A$32:$B$37,2,FALSE))</f>
        <v>0</v>
      </c>
      <c r="O32" s="379">
        <f>M32-K32</f>
        <v>0</v>
      </c>
      <c r="U32" s="229"/>
      <c r="AA32" s="217"/>
    </row>
    <row r="33" spans="1:27" ht="15" customHeight="1" x14ac:dyDescent="0.15">
      <c r="C33" s="943" t="s">
        <v>1365</v>
      </c>
      <c r="D33" s="460" t="s">
        <v>1426</v>
      </c>
      <c r="E33" s="448">
        <v>0</v>
      </c>
      <c r="F33" s="462"/>
      <c r="G33" s="32"/>
      <c r="H33" s="30"/>
      <c r="I33" s="31"/>
      <c r="J33" s="889">
        <v>875</v>
      </c>
      <c r="K33" s="378">
        <f t="shared" si="2"/>
        <v>0</v>
      </c>
      <c r="L33" s="392">
        <v>0.35</v>
      </c>
      <c r="M33" s="311">
        <f>(K33/(1-L33))*(1+$D$9)</f>
        <v>0</v>
      </c>
      <c r="N33" s="378">
        <f>(M33*VLOOKUP($C$9,'Base Costs'!$A$32:$B$37,2,FALSE))</f>
        <v>0</v>
      </c>
      <c r="O33" s="379">
        <f>M33-K33</f>
        <v>0</v>
      </c>
      <c r="U33" s="229"/>
      <c r="AA33" s="217"/>
    </row>
    <row r="34" spans="1:27" ht="15" customHeight="1" x14ac:dyDescent="0.15">
      <c r="H34" s="34" t="s">
        <v>347</v>
      </c>
    </row>
    <row r="35" spans="1:27" ht="15" customHeight="1" x14ac:dyDescent="0.15">
      <c r="C35" s="239"/>
      <c r="D35" s="239"/>
      <c r="E35" s="239"/>
      <c r="F35" s="239"/>
      <c r="G35" s="239"/>
      <c r="H35" s="239"/>
      <c r="I35" s="9"/>
      <c r="J35" s="11"/>
      <c r="K35" s="353"/>
      <c r="L35" s="240"/>
      <c r="M35" s="353"/>
      <c r="N35" s="353"/>
      <c r="U35" s="229"/>
      <c r="AA35" s="217"/>
    </row>
    <row r="36" spans="1:27" ht="15" customHeight="1" x14ac:dyDescent="0.15">
      <c r="C36" s="1094" t="s">
        <v>47</v>
      </c>
      <c r="D36" s="1094"/>
      <c r="E36" s="1094"/>
      <c r="F36" s="1094"/>
      <c r="G36" s="1094"/>
      <c r="H36" s="1094"/>
      <c r="I36" s="236"/>
      <c r="J36" s="330"/>
      <c r="K36" s="154">
        <f>SUBTOTAL(9,K37:K47)</f>
        <v>0</v>
      </c>
      <c r="L36" s="15" t="str">
        <f>IF(K36=0,"-",O36/M36)</f>
        <v>-</v>
      </c>
      <c r="M36" s="154">
        <f>SUBTOTAL(9,M37:M47)</f>
        <v>0</v>
      </c>
      <c r="N36" s="464">
        <f>SUBTOTAL(9,N37:N47)</f>
        <v>0</v>
      </c>
      <c r="O36" s="154">
        <f>SUBTOTAL(9,O38:O47)</f>
        <v>0</v>
      </c>
      <c r="U36" s="229"/>
    </row>
    <row r="37" spans="1:27" ht="15" customHeight="1" x14ac:dyDescent="0.15">
      <c r="A37" s="215">
        <v>222</v>
      </c>
      <c r="C37" s="269" t="s">
        <v>10</v>
      </c>
      <c r="D37" s="242"/>
      <c r="E37" s="309" t="s">
        <v>45</v>
      </c>
      <c r="F37" s="28"/>
      <c r="G37" s="30"/>
      <c r="H37" s="28"/>
      <c r="I37" s="28"/>
      <c r="J37" s="385">
        <f>VLOOKUP(E37,'Base Costs'!E4:G213,2,FALSE)</f>
        <v>0</v>
      </c>
      <c r="K37" s="378">
        <f t="shared" ref="K37:K47" si="5">D37*J37</f>
        <v>0</v>
      </c>
      <c r="L37" s="392">
        <v>0.33</v>
      </c>
      <c r="M37" s="311">
        <f t="shared" ref="M37:M47" si="6">(K37/(1-L37))*(1+$D$9)</f>
        <v>0</v>
      </c>
      <c r="N37" s="378">
        <f>(M37*VLOOKUP($C$9,'Base Costs'!$A$32:$B$37,2,FALSE))</f>
        <v>0</v>
      </c>
      <c r="O37" s="379">
        <f t="shared" ref="O37:O47" si="7">M37-K37</f>
        <v>0</v>
      </c>
      <c r="U37" s="229"/>
    </row>
    <row r="38" spans="1:27" ht="16" x14ac:dyDescent="0.15">
      <c r="A38" s="215">
        <v>257</v>
      </c>
      <c r="C38" s="269" t="s">
        <v>36</v>
      </c>
      <c r="D38" s="242"/>
      <c r="E38" s="309" t="s">
        <v>184</v>
      </c>
      <c r="F38" s="1118" t="s">
        <v>1405</v>
      </c>
      <c r="G38" s="1118"/>
      <c r="H38" s="28"/>
      <c r="I38" s="28"/>
      <c r="J38" s="385">
        <f>VLOOKUP(E38,'Base Costs'!$A$4:$B$16,2,FALSE)</f>
        <v>0</v>
      </c>
      <c r="K38" s="378">
        <f t="shared" si="5"/>
        <v>0</v>
      </c>
      <c r="L38" s="392">
        <v>0.33</v>
      </c>
      <c r="M38" s="311">
        <f t="shared" si="6"/>
        <v>0</v>
      </c>
      <c r="N38" s="378">
        <f>(M38*VLOOKUP($C$9,'Base Costs'!$A$32:$B$37,2,FALSE))</f>
        <v>0</v>
      </c>
      <c r="O38" s="379">
        <f t="shared" si="7"/>
        <v>0</v>
      </c>
      <c r="U38" s="229"/>
    </row>
    <row r="39" spans="1:27" ht="16" x14ac:dyDescent="0.15">
      <c r="A39" s="215">
        <v>257</v>
      </c>
      <c r="C39" s="269" t="s">
        <v>36</v>
      </c>
      <c r="D39" s="242"/>
      <c r="E39" s="309" t="s">
        <v>184</v>
      </c>
      <c r="F39" s="28"/>
      <c r="G39" s="28"/>
      <c r="H39" s="28"/>
      <c r="I39" s="28"/>
      <c r="J39" s="385">
        <f>VLOOKUP(E39,'Base Costs'!$A$4:$B$16,2,FALSE)</f>
        <v>0</v>
      </c>
      <c r="K39" s="378">
        <f t="shared" si="5"/>
        <v>0</v>
      </c>
      <c r="L39" s="392">
        <v>0.33</v>
      </c>
      <c r="M39" s="311">
        <f t="shared" si="6"/>
        <v>0</v>
      </c>
      <c r="N39" s="378">
        <f>(M39*VLOOKUP($C$9,'Base Costs'!$A$32:$B$37,2,FALSE))</f>
        <v>0</v>
      </c>
      <c r="O39" s="379">
        <f t="shared" si="7"/>
        <v>0</v>
      </c>
      <c r="U39" s="229"/>
    </row>
    <row r="40" spans="1:27" ht="15" customHeight="1" x14ac:dyDescent="0.15">
      <c r="A40" s="215">
        <v>400</v>
      </c>
      <c r="C40" s="269" t="s">
        <v>1355</v>
      </c>
      <c r="D40" s="242"/>
      <c r="E40" s="28" t="s">
        <v>137</v>
      </c>
      <c r="F40" s="28"/>
      <c r="G40" s="28"/>
      <c r="H40" s="28"/>
      <c r="I40" s="28"/>
      <c r="J40" s="385">
        <v>610</v>
      </c>
      <c r="K40" s="378">
        <f t="shared" si="5"/>
        <v>0</v>
      </c>
      <c r="L40" s="392">
        <v>0.33</v>
      </c>
      <c r="M40" s="311">
        <f t="shared" si="6"/>
        <v>0</v>
      </c>
      <c r="N40" s="378">
        <f>(M40*VLOOKUP($C$9,'Base Costs'!$A$32:$B$37,2,FALSE))</f>
        <v>0</v>
      </c>
      <c r="O40" s="379">
        <f t="shared" si="7"/>
        <v>0</v>
      </c>
      <c r="U40" s="229"/>
    </row>
    <row r="41" spans="1:27" ht="15" customHeight="1" x14ac:dyDescent="0.15">
      <c r="A41" s="215">
        <v>102</v>
      </c>
      <c r="C41" s="269" t="s">
        <v>13</v>
      </c>
      <c r="D41" s="242"/>
      <c r="E41" s="28" t="s">
        <v>199</v>
      </c>
      <c r="F41" s="28"/>
      <c r="G41" s="28"/>
      <c r="H41" s="28"/>
      <c r="I41" s="28"/>
      <c r="J41" s="385">
        <v>15</v>
      </c>
      <c r="K41" s="378">
        <f t="shared" si="5"/>
        <v>0</v>
      </c>
      <c r="L41" s="392">
        <v>0.33</v>
      </c>
      <c r="M41" s="311">
        <f t="shared" si="6"/>
        <v>0</v>
      </c>
      <c r="N41" s="378">
        <f>(M41*VLOOKUP($C$9,'Base Costs'!$A$32:$B$37,2,FALSE))</f>
        <v>0</v>
      </c>
      <c r="O41" s="379">
        <f t="shared" si="7"/>
        <v>0</v>
      </c>
      <c r="U41" s="229"/>
    </row>
    <row r="42" spans="1:27" ht="15" customHeight="1" x14ac:dyDescent="0.15">
      <c r="A42" s="215">
        <v>400</v>
      </c>
      <c r="C42" s="269" t="s">
        <v>135</v>
      </c>
      <c r="D42" s="242"/>
      <c r="E42" s="28" t="s">
        <v>1356</v>
      </c>
      <c r="F42" s="1118" t="s">
        <v>1406</v>
      </c>
      <c r="G42" s="1118"/>
      <c r="H42" s="28"/>
      <c r="I42" s="28"/>
      <c r="J42" s="385">
        <v>610</v>
      </c>
      <c r="K42" s="378">
        <f t="shared" si="5"/>
        <v>0</v>
      </c>
      <c r="L42" s="392">
        <v>0.4</v>
      </c>
      <c r="M42" s="311">
        <f t="shared" si="6"/>
        <v>0</v>
      </c>
      <c r="N42" s="378">
        <f>(M42*VLOOKUP($C$9,'Base Costs'!$A$32:$B$37,2,FALSE))</f>
        <v>0</v>
      </c>
      <c r="O42" s="379">
        <f t="shared" si="7"/>
        <v>0</v>
      </c>
      <c r="U42" s="229"/>
    </row>
    <row r="43" spans="1:27" ht="15" customHeight="1" x14ac:dyDescent="0.15">
      <c r="A43" s="215">
        <v>400</v>
      </c>
      <c r="C43" s="269" t="s">
        <v>136</v>
      </c>
      <c r="D43" s="242"/>
      <c r="E43" s="28" t="s">
        <v>1356</v>
      </c>
      <c r="F43" s="28"/>
      <c r="G43" s="28"/>
      <c r="H43" s="28"/>
      <c r="I43" s="28"/>
      <c r="J43" s="385">
        <v>1220</v>
      </c>
      <c r="K43" s="378">
        <f t="shared" si="5"/>
        <v>0</v>
      </c>
      <c r="L43" s="392">
        <v>0.4</v>
      </c>
      <c r="M43" s="311">
        <f t="shared" si="6"/>
        <v>0</v>
      </c>
      <c r="N43" s="378">
        <f>(M43*VLOOKUP($C$9,'Base Costs'!$A$32:$B$37,2,FALSE))</f>
        <v>0</v>
      </c>
      <c r="O43" s="379">
        <f t="shared" si="7"/>
        <v>0</v>
      </c>
      <c r="U43" s="229"/>
    </row>
    <row r="44" spans="1:27" ht="15" customHeight="1" x14ac:dyDescent="0.15">
      <c r="A44" s="215">
        <v>253</v>
      </c>
      <c r="C44" s="269" t="s">
        <v>539</v>
      </c>
      <c r="D44" s="242"/>
      <c r="E44" s="28" t="s">
        <v>139</v>
      </c>
      <c r="F44" s="28"/>
      <c r="G44" s="28"/>
      <c r="H44" s="28"/>
      <c r="I44" s="28"/>
      <c r="J44" s="385">
        <v>150</v>
      </c>
      <c r="K44" s="378">
        <f t="shared" si="5"/>
        <v>0</v>
      </c>
      <c r="L44" s="392">
        <v>0.33</v>
      </c>
      <c r="M44" s="311">
        <f t="shared" si="6"/>
        <v>0</v>
      </c>
      <c r="N44" s="378">
        <f>(M44*VLOOKUP($C$9,'Base Costs'!$A$32:$B$37,2,FALSE))</f>
        <v>0</v>
      </c>
      <c r="O44" s="379">
        <f t="shared" si="7"/>
        <v>0</v>
      </c>
      <c r="U44" s="229"/>
    </row>
    <row r="45" spans="1:27" ht="15" customHeight="1" x14ac:dyDescent="0.15">
      <c r="A45" s="215">
        <v>253</v>
      </c>
      <c r="C45" s="269" t="s">
        <v>12</v>
      </c>
      <c r="D45" s="242"/>
      <c r="E45" s="28" t="s">
        <v>139</v>
      </c>
      <c r="F45" s="28"/>
      <c r="G45" s="28"/>
      <c r="H45" s="28"/>
      <c r="I45" s="28"/>
      <c r="J45" s="385">
        <v>220</v>
      </c>
      <c r="K45" s="378">
        <f t="shared" si="5"/>
        <v>0</v>
      </c>
      <c r="L45" s="392">
        <v>0.33</v>
      </c>
      <c r="M45" s="311">
        <f t="shared" si="6"/>
        <v>0</v>
      </c>
      <c r="N45" s="378">
        <f>(M45*VLOOKUP($C$9,'Base Costs'!$A$32:$B$37,2,FALSE))</f>
        <v>0</v>
      </c>
      <c r="O45" s="379">
        <f t="shared" si="7"/>
        <v>0</v>
      </c>
      <c r="U45" s="229"/>
    </row>
    <row r="46" spans="1:27" ht="15" customHeight="1" x14ac:dyDescent="0.15">
      <c r="A46" s="215">
        <v>280</v>
      </c>
      <c r="C46" s="269" t="s">
        <v>32</v>
      </c>
      <c r="D46" s="242"/>
      <c r="E46" s="1180" t="s">
        <v>1457</v>
      </c>
      <c r="F46" s="1181"/>
      <c r="G46" s="28"/>
      <c r="H46" s="28"/>
      <c r="I46" s="28"/>
      <c r="J46" s="385">
        <v>604</v>
      </c>
      <c r="K46" s="378">
        <f t="shared" si="5"/>
        <v>0</v>
      </c>
      <c r="L46" s="392">
        <v>0.33</v>
      </c>
      <c r="M46" s="311">
        <f>(K46/(1-L46))*(1+$D$9)</f>
        <v>0</v>
      </c>
      <c r="N46" s="378">
        <f>(M46*VLOOKUP($C$9,'Base Costs'!$A$32:$B$37,2,FALSE))</f>
        <v>0</v>
      </c>
      <c r="O46" s="379">
        <f>M46-K46</f>
        <v>0</v>
      </c>
      <c r="U46" s="229"/>
    </row>
    <row r="47" spans="1:27" ht="15" customHeight="1" x14ac:dyDescent="0.15">
      <c r="A47" s="215">
        <v>284</v>
      </c>
      <c r="C47" s="269"/>
      <c r="D47" s="242"/>
      <c r="E47" s="28" t="s">
        <v>201</v>
      </c>
      <c r="F47" s="28"/>
      <c r="G47" s="28"/>
      <c r="H47" s="28"/>
      <c r="I47" s="28"/>
      <c r="J47" s="385">
        <v>200</v>
      </c>
      <c r="K47" s="378">
        <f t="shared" si="5"/>
        <v>0</v>
      </c>
      <c r="L47" s="392">
        <v>0.33</v>
      </c>
      <c r="M47" s="311">
        <f t="shared" si="6"/>
        <v>0</v>
      </c>
      <c r="N47" s="378">
        <f>(M47*VLOOKUP($C$9,'Base Costs'!$A$32:$B$37,2,FALSE))</f>
        <v>0</v>
      </c>
      <c r="O47" s="379">
        <f t="shared" si="7"/>
        <v>0</v>
      </c>
      <c r="U47" s="229"/>
    </row>
    <row r="48" spans="1:27" ht="15" customHeight="1" x14ac:dyDescent="0.15">
      <c r="C48" s="239"/>
      <c r="D48" s="239"/>
      <c r="E48" s="239"/>
      <c r="F48" s="239"/>
      <c r="G48" s="239"/>
      <c r="H48" s="243"/>
      <c r="I48" s="244"/>
      <c r="J48" s="354"/>
      <c r="K48" s="353"/>
      <c r="L48" s="355"/>
      <c r="M48" s="353"/>
      <c r="N48" s="353"/>
      <c r="U48" s="229"/>
    </row>
    <row r="49" spans="3:21" ht="15" customHeight="1" x14ac:dyDescent="0.2">
      <c r="C49" s="197" t="s">
        <v>121</v>
      </c>
      <c r="D49" s="198"/>
      <c r="E49" s="199"/>
      <c r="F49" s="199"/>
      <c r="G49" s="198"/>
      <c r="H49" s="200"/>
      <c r="I49" s="198"/>
      <c r="J49" s="198"/>
      <c r="K49" s="198"/>
      <c r="L49" s="198"/>
      <c r="M49" s="198"/>
      <c r="N49" s="198"/>
      <c r="O49" s="198"/>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5"/>
      <c r="L51" s="205"/>
      <c r="M51" s="205"/>
      <c r="N51" s="205"/>
      <c r="O51" s="205"/>
      <c r="U51" s="229"/>
    </row>
    <row r="52" spans="3:21" ht="15" customHeight="1" x14ac:dyDescent="0.2">
      <c r="C52" s="202"/>
      <c r="D52" s="203"/>
      <c r="E52" s="202"/>
      <c r="F52" s="204"/>
      <c r="G52" s="202"/>
      <c r="H52" s="209"/>
      <c r="I52" s="203"/>
      <c r="J52" s="203"/>
      <c r="K52" s="209"/>
      <c r="L52" s="209"/>
      <c r="M52" s="209"/>
      <c r="N52" s="209"/>
      <c r="O52" s="209"/>
      <c r="U52" s="229"/>
    </row>
    <row r="53" spans="3:21" ht="15" customHeight="1" x14ac:dyDescent="0.2">
      <c r="C53" s="202"/>
      <c r="D53" s="203"/>
      <c r="E53" s="202"/>
      <c r="F53" s="204"/>
      <c r="G53" s="202"/>
      <c r="H53" s="209"/>
      <c r="I53" s="206"/>
      <c r="J53" s="203"/>
      <c r="K53" s="209"/>
      <c r="L53" s="209"/>
      <c r="M53" s="209"/>
      <c r="N53" s="209"/>
      <c r="O53" s="209"/>
      <c r="U53" s="229"/>
    </row>
    <row r="54" spans="3:21" ht="15" customHeight="1" x14ac:dyDescent="0.2">
      <c r="C54" s="202"/>
      <c r="D54" s="203"/>
      <c r="E54" s="202"/>
      <c r="F54" s="202"/>
      <c r="G54" s="202"/>
      <c r="H54" s="207"/>
      <c r="I54" s="209"/>
      <c r="J54" s="203"/>
      <c r="K54" s="205"/>
      <c r="L54" s="205"/>
      <c r="M54" s="205"/>
      <c r="N54" s="205"/>
      <c r="O54" s="205"/>
      <c r="U54" s="229"/>
    </row>
    <row r="55" spans="3:21" ht="15" customHeight="1" x14ac:dyDescent="0.2">
      <c r="C55" s="202"/>
      <c r="D55" s="202"/>
      <c r="E55" s="202"/>
      <c r="F55" s="202"/>
      <c r="G55" s="202"/>
      <c r="H55" s="207"/>
      <c r="I55" s="209"/>
      <c r="J55" s="203"/>
      <c r="K55" s="205"/>
      <c r="L55" s="205"/>
      <c r="M55" s="205"/>
      <c r="N55" s="205"/>
      <c r="O55" s="205"/>
      <c r="U55" s="229"/>
    </row>
    <row r="56" spans="3:21" ht="15" customHeight="1" x14ac:dyDescent="0.15">
      <c r="J56" s="228"/>
      <c r="M56" s="228"/>
      <c r="O56" s="228"/>
      <c r="U56" s="229"/>
    </row>
    <row r="57" spans="3:21" ht="15" customHeight="1" x14ac:dyDescent="0.15">
      <c r="J57" s="228"/>
      <c r="M57" s="228"/>
      <c r="O57" s="228"/>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H66" s="219"/>
      <c r="U66" s="229"/>
    </row>
    <row r="67" spans="3:21" ht="15" customHeight="1" x14ac:dyDescent="0.15">
      <c r="C67" s="245"/>
      <c r="D67" s="245"/>
      <c r="E67" s="245"/>
      <c r="F67" s="245"/>
      <c r="G67" s="245"/>
      <c r="H67" s="24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1" spans="21:21" ht="15" customHeight="1" x14ac:dyDescent="0.15">
      <c r="U121"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row r="160" spans="21:21" ht="15" customHeight="1" x14ac:dyDescent="0.15">
      <c r="U160" s="229"/>
    </row>
  </sheetData>
  <protectedRanges>
    <protectedRange sqref="C12:C14 O10:O11 O37:O48 D37:E47 J37:J47 O35 H32:I33 H35:J35 I4:J7 I8:K8 J13:J33 D13:H14 F15:H26 I13:I31 C23 F30:H31 D15:E33 O14:O33"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50:G55 C50:C54 K55:O55" name="Full" securityDescriptor="O:WDG:WDD:(A;;CC;;;S-1-5-21-1993962763-879983540-839522115-1156)"/>
    <protectedRange sqref="C55:D55" name="Full_2" securityDescriptor="O:WDG:WDD:(A;;CC;;;S-1-5-21-1993962763-879983540-839522115-1156)"/>
    <protectedRange sqref="D3:E3" name="Estimating_1_3_2" securityDescriptor="O:WDG:WDD:(A;;CC;;;S-1-5-21-1993962763-879983540-839522115-1221)"/>
  </protectedRanges>
  <mergeCells count="15">
    <mergeCell ref="E46:F46"/>
    <mergeCell ref="P29:Q29"/>
    <mergeCell ref="P7:R7"/>
    <mergeCell ref="P31:R31"/>
    <mergeCell ref="P30:R30"/>
    <mergeCell ref="C36:H36"/>
    <mergeCell ref="D7:E7"/>
    <mergeCell ref="H7:J7"/>
    <mergeCell ref="F42:G42"/>
    <mergeCell ref="F38:G38"/>
    <mergeCell ref="C1:D1"/>
    <mergeCell ref="D3:E3"/>
    <mergeCell ref="H3:J3"/>
    <mergeCell ref="D5:E5"/>
    <mergeCell ref="H5:J5"/>
  </mergeCells>
  <conditionalFormatting sqref="C9">
    <cfRule type="expression" dxfId="144" priority="84">
      <formula>C9="CURRENCY"</formula>
    </cfRule>
    <cfRule type="containsText" dxfId="143" priority="83" operator="containsText" text="SELECT">
      <formula>NOT(ISERROR(SEARCH("SELECT",C9)))</formula>
    </cfRule>
  </conditionalFormatting>
  <conditionalFormatting sqref="C14:C33">
    <cfRule type="expression" dxfId="142" priority="1">
      <formula>$J14&gt;0</formula>
    </cfRule>
  </conditionalFormatting>
  <conditionalFormatting sqref="C37:C47">
    <cfRule type="expression" dxfId="141" priority="25">
      <formula>$D37&gt;0</formula>
    </cfRule>
  </conditionalFormatting>
  <conditionalFormatting sqref="D37:D38 D40:D47">
    <cfRule type="cellIs" dxfId="140" priority="86" operator="lessThan">
      <formula>1</formula>
    </cfRule>
  </conditionalFormatting>
  <conditionalFormatting sqref="D39">
    <cfRule type="cellIs" dxfId="139" priority="73" operator="lessThan">
      <formula>1</formula>
    </cfRule>
  </conditionalFormatting>
  <conditionalFormatting sqref="D9:E9">
    <cfRule type="cellIs" dxfId="138" priority="80" operator="greaterThan">
      <formula>0</formula>
    </cfRule>
    <cfRule type="cellIs" dxfId="137" priority="79" operator="lessThan">
      <formula>0</formula>
    </cfRule>
  </conditionalFormatting>
  <conditionalFormatting sqref="F12">
    <cfRule type="cellIs" dxfId="136" priority="97" operator="greaterThan">
      <formula>2000</formula>
    </cfRule>
    <cfRule type="expression" dxfId="135" priority="96">
      <formula>ISNUMBER(SEARCH("I-MUAP",$E$14))</formula>
    </cfRule>
    <cfRule type="expression" dxfId="134" priority="95">
      <formula>AND((ISNUMBER(SEARCH("I-MUAP",$E$14))),F12&lt;2500)</formula>
    </cfRule>
  </conditionalFormatting>
  <conditionalFormatting sqref="F12:G12">
    <cfRule type="cellIs" dxfId="133" priority="90" operator="lessThan">
      <formula>1000</formula>
    </cfRule>
  </conditionalFormatting>
  <conditionalFormatting sqref="F14:G26">
    <cfRule type="cellIs" dxfId="132" priority="17" operator="lessThan">
      <formula>1000</formula>
    </cfRule>
  </conditionalFormatting>
  <conditionalFormatting sqref="F30:G31">
    <cfRule type="cellIs" dxfId="131" priority="5" operator="lessThan">
      <formula>1000</formula>
    </cfRule>
  </conditionalFormatting>
  <conditionalFormatting sqref="G12">
    <cfRule type="cellIs" dxfId="130" priority="91" operator="greaterThan">
      <formula>3001</formula>
    </cfRule>
  </conditionalFormatting>
  <conditionalFormatting sqref="H11">
    <cfRule type="expression" dxfId="129" priority="93">
      <formula>((G14-50)/I14)&lt;950</formula>
    </cfRule>
  </conditionalFormatting>
  <conditionalFormatting sqref="H12">
    <cfRule type="expression" dxfId="128" priority="92">
      <formula>((G14-50)/I14)&lt;950</formula>
    </cfRule>
  </conditionalFormatting>
  <conditionalFormatting sqref="H14:H26">
    <cfRule type="cellIs" dxfId="127" priority="19" operator="lessThan">
      <formula>400</formula>
    </cfRule>
  </conditionalFormatting>
  <conditionalFormatting sqref="H30:H31">
    <cfRule type="cellIs" dxfId="126" priority="7" operator="lessThan">
      <formula>400</formula>
    </cfRule>
  </conditionalFormatting>
  <conditionalFormatting sqref="H34">
    <cfRule type="expression" dxfId="125" priority="104">
      <formula>((#REF!-50)/#REF!)&lt;950</formula>
    </cfRule>
  </conditionalFormatting>
  <conditionalFormatting sqref="J14:J31">
    <cfRule type="cellIs" dxfId="124" priority="32" operator="greaterThan">
      <formula>0</formula>
    </cfRule>
  </conditionalFormatting>
  <conditionalFormatting sqref="J37:J47">
    <cfRule type="expression" dxfId="123" priority="65">
      <formula>D37&gt;0</formula>
    </cfRule>
  </conditionalFormatting>
  <conditionalFormatting sqref="J49:J55">
    <cfRule type="expression" dxfId="122" priority="70">
      <formula>#REF!="EURO"</formula>
    </cfRule>
  </conditionalFormatting>
  <conditionalFormatting sqref="K14:K33">
    <cfRule type="cellIs" dxfId="121" priority="15" operator="greaterThan">
      <formula>0</formula>
    </cfRule>
  </conditionalFormatting>
  <conditionalFormatting sqref="K37:K47">
    <cfRule type="cellIs" dxfId="120" priority="72" operator="greaterThan">
      <formula>0</formula>
    </cfRule>
  </conditionalFormatting>
  <conditionalFormatting sqref="K49:K55">
    <cfRule type="expression" dxfId="119" priority="66">
      <formula>$C$9="PLN"</formula>
    </cfRule>
    <cfRule type="expression" dxfId="118" priority="67">
      <formula>$C$9="CZK"</formula>
    </cfRule>
    <cfRule type="expression" dxfId="117" priority="68">
      <formula>$C$9="USD"</formula>
    </cfRule>
    <cfRule type="expression" dxfId="116" priority="69">
      <formula>$C$9="EURO"</formula>
    </cfRule>
  </conditionalFormatting>
  <conditionalFormatting sqref="L14:L33">
    <cfRule type="expression" dxfId="115" priority="31">
      <formula>$D$9&gt;0</formula>
    </cfRule>
    <cfRule type="expression" dxfId="114" priority="30">
      <formula>$D$9&lt;0</formula>
    </cfRule>
  </conditionalFormatting>
  <conditionalFormatting sqref="L37:L47">
    <cfRule type="expression" dxfId="113" priority="29">
      <formula>$D$9&gt;0</formula>
    </cfRule>
    <cfRule type="expression" dxfId="112" priority="28">
      <formula>$D$9&lt;0</formula>
    </cfRule>
  </conditionalFormatting>
  <conditionalFormatting sqref="N9 N12">
    <cfRule type="expression" dxfId="111" priority="98">
      <formula>$C$9="PLN"</formula>
    </cfRule>
    <cfRule type="expression" dxfId="110" priority="99">
      <formula>$C$9="CZK"</formula>
    </cfRule>
    <cfRule type="expression" dxfId="109" priority="100">
      <formula>$C$9="USD"</formula>
    </cfRule>
    <cfRule type="expression" dxfId="108" priority="101">
      <formula>$C$9="EURO"</formula>
    </cfRule>
  </conditionalFormatting>
  <conditionalFormatting sqref="N14:N33">
    <cfRule type="expression" dxfId="107" priority="37">
      <formula>$C$9="CZK"</formula>
    </cfRule>
    <cfRule type="expression" dxfId="106" priority="36">
      <formula>$C$9="PLN"</formula>
    </cfRule>
    <cfRule type="expression" dxfId="105" priority="39">
      <formula>$C$9="EURO"</formula>
    </cfRule>
    <cfRule type="expression" dxfId="104" priority="38">
      <formula>$C$9="USD"</formula>
    </cfRule>
  </conditionalFormatting>
  <conditionalFormatting sqref="N18:N20">
    <cfRule type="cellIs" dxfId="103" priority="47" operator="greaterThan">
      <formula>0</formula>
    </cfRule>
  </conditionalFormatting>
  <conditionalFormatting sqref="N36:N47">
    <cfRule type="expression" dxfId="102" priority="24">
      <formula>$C$9="EURO"</formula>
    </cfRule>
    <cfRule type="expression" dxfId="101" priority="23">
      <formula>$C$9="USD"</formula>
    </cfRule>
    <cfRule type="expression" dxfId="100" priority="22">
      <formula>$C$9="CZK"</formula>
    </cfRule>
    <cfRule type="expression" dxfId="99" priority="21">
      <formula>$C$9="PLN"</formula>
    </cfRule>
  </conditionalFormatting>
  <conditionalFormatting sqref="N14:O33">
    <cfRule type="cellIs" dxfId="98" priority="35" operator="greaterThan">
      <formula>0</formula>
    </cfRule>
  </conditionalFormatting>
  <conditionalFormatting sqref="N37:O47">
    <cfRule type="cellIs" dxfId="97" priority="20" operator="greaterThan">
      <formula>0</formula>
    </cfRule>
  </conditionalFormatting>
  <conditionalFormatting sqref="O14:O20">
    <cfRule type="cellIs" dxfId="96" priority="52" operator="greaterThan">
      <formula>0</formula>
    </cfRule>
  </conditionalFormatting>
  <dataValidations count="3">
    <dataValidation type="list" allowBlank="1" showInputMessage="1" showErrorMessage="1" sqref="E14:E33" xr:uid="{00000000-0002-0000-0F00-000000000000}">
      <formula1>"0,1,2,3,4,5,6,7,8,9,10,11,12,13,14,15,16,17,18,19,20"</formula1>
    </dataValidation>
    <dataValidation operator="greaterThan" allowBlank="1" showInputMessage="1" showErrorMessage="1" sqref="F14:F26 F30:F31" xr:uid="{00000000-0002-0000-0F00-000001000000}"/>
    <dataValidation type="list" allowBlank="1" showInputMessage="1" showErrorMessage="1" sqref="H35" xr:uid="{00000000-0002-0000-0F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3000000}">
          <x14:formula1>
            <xm:f>'Base Costs'!$A$32:$A$37</xm:f>
          </x14:formula1>
          <xm:sqref>C9</xm:sqref>
        </x14:dataValidation>
        <x14:dataValidation type="list" allowBlank="1" showInputMessage="1" showErrorMessage="1" xr:uid="{00000000-0002-0000-0F00-000004000000}">
          <x14:formula1>
            <xm:f>'Base Costs'!$E$4:$E$213</xm:f>
          </x14:formula1>
          <xm:sqref>E37</xm:sqref>
        </x14:dataValidation>
        <x14:dataValidation type="list" allowBlank="1" showInputMessage="1" showErrorMessage="1" xr:uid="{00000000-0002-0000-0F00-000005000000}">
          <x14:formula1>
            <xm:f>'Base Costs'!$A$4:$A$16</xm:f>
          </x14:formula1>
          <xm:sqref>E38:E39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79998168889431442"/>
    <pageSetUpPr fitToPage="1"/>
  </sheetPr>
  <dimension ref="A1:AD159"/>
  <sheetViews>
    <sheetView showGridLines="0" zoomScale="70" zoomScaleNormal="70" zoomScaleSheetLayoutView="50" workbookViewId="0">
      <selection activeCell="E4" sqref="E4"/>
    </sheetView>
  </sheetViews>
  <sheetFormatPr baseColWidth="10" defaultColWidth="8.83203125" defaultRowHeight="15" customHeight="1" x14ac:dyDescent="0.15"/>
  <cols>
    <col min="1" max="2" width="2" style="215" customWidth="1"/>
    <col min="3" max="3" width="32.33203125" style="217" customWidth="1"/>
    <col min="4" max="4" width="39.83203125" style="217" customWidth="1"/>
    <col min="5" max="5" width="27.1640625" style="217" customWidth="1"/>
    <col min="6" max="6" width="26.6640625" style="217" customWidth="1"/>
    <col min="7" max="7" width="18.83203125" style="217" customWidth="1"/>
    <col min="8" max="8" width="25" style="217" bestFit="1" customWidth="1"/>
    <col min="9" max="9" width="10" style="233" bestFit="1" customWidth="1"/>
    <col min="10" max="10" width="14.83203125" style="348" bestFit="1" customWidth="1"/>
    <col min="11" max="11" width="17.5" style="228" customWidth="1"/>
    <col min="12" max="12" width="7.6640625" style="228" bestFit="1" customWidth="1"/>
    <col min="13" max="13" width="15.5" style="346" hidden="1" customWidth="1"/>
    <col min="14" max="14" width="14.5" style="348" bestFit="1" customWidth="1"/>
    <col min="15" max="15" width="13.6640625" style="14" bestFit="1" customWidth="1"/>
    <col min="16" max="16" width="15.6640625" style="217" customWidth="1"/>
    <col min="17" max="17" width="8.83203125" style="217" customWidth="1"/>
    <col min="18" max="18" width="18.6640625" style="217" customWidth="1"/>
    <col min="19" max="26" width="8.83203125" style="217" customWidth="1"/>
    <col min="27" max="27" width="8.83203125" style="219" customWidth="1"/>
    <col min="28" max="29" width="8.83203125" style="217" customWidth="1"/>
    <col min="30" max="30" width="8.83203125" style="220" customWidth="1"/>
    <col min="31" max="99" width="8.83203125" style="217" customWidth="1"/>
    <col min="100" max="16384" width="8.83203125" style="217"/>
  </cols>
  <sheetData>
    <row r="1" spans="1:28" ht="15" customHeight="1" x14ac:dyDescent="0.15">
      <c r="C1" s="1165" t="s">
        <v>1474</v>
      </c>
      <c r="D1" s="1165"/>
      <c r="E1" s="216"/>
      <c r="F1" s="216"/>
      <c r="G1" s="216"/>
      <c r="H1" s="216"/>
      <c r="I1" s="29"/>
      <c r="J1" s="336"/>
      <c r="K1" s="337"/>
      <c r="L1" s="338"/>
      <c r="M1" s="339"/>
      <c r="N1" s="336"/>
      <c r="O1" s="981" t="s">
        <v>1478</v>
      </c>
      <c r="S1" s="80"/>
      <c r="T1" s="218"/>
    </row>
    <row r="2" spans="1:28" ht="15" customHeight="1" x14ac:dyDescent="0.15">
      <c r="C2" s="79"/>
      <c r="D2" s="221"/>
      <c r="E2" s="221"/>
      <c r="G2" s="79"/>
      <c r="H2" s="77"/>
      <c r="I2" s="222"/>
      <c r="J2" s="340"/>
      <c r="K2" s="341"/>
      <c r="L2" s="342"/>
      <c r="M2" s="343"/>
      <c r="N2" s="344"/>
      <c r="T2" s="225"/>
      <c r="Y2" s="226"/>
    </row>
    <row r="3" spans="1:28" ht="15" customHeight="1" x14ac:dyDescent="0.15">
      <c r="C3" s="78" t="s">
        <v>728</v>
      </c>
      <c r="D3" s="1155" t="str">
        <f>IF(CANOPY!C3="","",CANOPY!C3)</f>
        <v/>
      </c>
      <c r="E3" s="1155"/>
      <c r="G3" s="76" t="s">
        <v>75</v>
      </c>
      <c r="H3" s="1081" t="str">
        <f>IF(CANOPY!G3="","",CANOPY!G3)</f>
        <v/>
      </c>
      <c r="I3" s="1081"/>
      <c r="J3" s="1081"/>
      <c r="L3" s="342"/>
      <c r="M3" s="343"/>
      <c r="N3" s="344"/>
      <c r="T3" s="225"/>
    </row>
    <row r="4" spans="1:28" ht="15" customHeight="1" x14ac:dyDescent="0.15">
      <c r="C4" s="79"/>
      <c r="D4" s="223"/>
      <c r="E4" s="223"/>
      <c r="G4" s="77"/>
      <c r="H4" s="222"/>
      <c r="I4" s="227"/>
      <c r="J4" s="341"/>
      <c r="L4" s="342"/>
      <c r="M4" s="343"/>
      <c r="N4" s="344"/>
      <c r="T4" s="225"/>
    </row>
    <row r="5" spans="1:28" ht="15" customHeight="1" x14ac:dyDescent="0.15">
      <c r="C5" s="78" t="s">
        <v>72</v>
      </c>
      <c r="D5" s="1080" t="str">
        <f>IF(CANOPY!C5="","",CANOPY!C5)</f>
        <v/>
      </c>
      <c r="E5" s="1080"/>
      <c r="G5" s="76" t="s">
        <v>74</v>
      </c>
      <c r="H5" s="1081" t="str">
        <f>IF(CANOPY!G5="","",CANOPY!G5)</f>
        <v/>
      </c>
      <c r="I5" s="1081"/>
      <c r="J5" s="1081"/>
      <c r="M5" s="343"/>
      <c r="N5" s="344"/>
      <c r="Q5" s="229"/>
      <c r="R5" s="229"/>
      <c r="T5" s="225"/>
      <c r="U5" s="226"/>
    </row>
    <row r="6" spans="1:28" ht="15" customHeight="1" x14ac:dyDescent="0.15">
      <c r="C6" s="78"/>
      <c r="D6" s="230"/>
      <c r="E6" s="230"/>
      <c r="G6" s="76"/>
      <c r="H6" s="222"/>
      <c r="I6" s="79"/>
      <c r="J6" s="345"/>
      <c r="L6" s="342"/>
      <c r="M6" s="343"/>
      <c r="N6" s="344"/>
      <c r="Q6" s="229"/>
      <c r="R6" s="229"/>
      <c r="T6" s="225"/>
      <c r="U6" s="226"/>
      <c r="AA6" s="231"/>
    </row>
    <row r="7" spans="1:28" ht="15" customHeight="1" x14ac:dyDescent="0.15">
      <c r="C7" s="80" t="s">
        <v>729</v>
      </c>
      <c r="D7" s="1080" t="str">
        <f>IF(CANOPY!C7="","",CANOPY!C7)</f>
        <v/>
      </c>
      <c r="E7" s="1080"/>
      <c r="G7" s="76" t="s">
        <v>73</v>
      </c>
      <c r="H7" s="1083" t="str">
        <f>IF(CANOPY!G7="","",CANOPY!G7)</f>
        <v/>
      </c>
      <c r="I7" s="1083"/>
      <c r="J7" s="1083"/>
      <c r="N7" s="347" t="s">
        <v>76</v>
      </c>
      <c r="O7" s="907" t="str">
        <f>IF(CANOPY!O7="","",CANOPY!O7)</f>
        <v/>
      </c>
      <c r="P7" s="1091" t="s">
        <v>1370</v>
      </c>
      <c r="Q7" s="1091"/>
      <c r="R7" s="1091"/>
      <c r="T7" s="225"/>
      <c r="U7" s="226"/>
      <c r="AA7" s="231"/>
    </row>
    <row r="8" spans="1:28" ht="15" customHeight="1" x14ac:dyDescent="0.15">
      <c r="E8" s="219"/>
      <c r="F8" s="219"/>
      <c r="H8" s="219"/>
      <c r="J8" s="346"/>
      <c r="K8" s="14"/>
      <c r="T8" s="225"/>
      <c r="AA8" s="231"/>
    </row>
    <row r="9" spans="1:28" s="80" customFormat="1" ht="15" customHeight="1" x14ac:dyDescent="0.15">
      <c r="A9" s="215"/>
      <c r="B9" s="215"/>
      <c r="C9" s="38" t="s">
        <v>348</v>
      </c>
      <c r="D9" s="953">
        <v>0</v>
      </c>
      <c r="E9" s="377">
        <f>IF(D9=0,0,(SUBTOTAL(9,M14:M46)/(1-D9))-M9)</f>
        <v>0</v>
      </c>
      <c r="I9" s="234"/>
      <c r="K9" s="25">
        <f>SUBTOTAL(9,K12:K46)</f>
        <v>50</v>
      </c>
      <c r="L9" s="973">
        <f>IF(O9=0,"-",O9/M9)</f>
        <v>0.43999999999999995</v>
      </c>
      <c r="M9" s="25">
        <f>SUBTOTAL(9,M12:M46)</f>
        <v>89.285714285714278</v>
      </c>
      <c r="N9" s="464">
        <f>SUBTOTAL(9,N12:N46)</f>
        <v>89.285714285714278</v>
      </c>
      <c r="O9" s="25">
        <f>SUBTOTAL(9,O12:O46)</f>
        <v>39.285714285714278</v>
      </c>
      <c r="P9" s="217"/>
      <c r="Q9" s="217"/>
      <c r="R9" s="217"/>
      <c r="S9" s="217"/>
      <c r="T9" s="217"/>
      <c r="U9" s="217"/>
      <c r="V9" s="217"/>
      <c r="Z9" s="217"/>
      <c r="AA9" s="217"/>
      <c r="AB9" s="217"/>
    </row>
    <row r="10" spans="1:28" s="80" customFormat="1" ht="15" customHeight="1" x14ac:dyDescent="0.15">
      <c r="A10" s="215"/>
      <c r="B10" s="215"/>
      <c r="C10" s="6" t="s">
        <v>348</v>
      </c>
      <c r="D10" s="6" t="s">
        <v>537</v>
      </c>
      <c r="E10" s="6" t="s">
        <v>536</v>
      </c>
      <c r="F10" s="6"/>
      <c r="G10" s="6"/>
      <c r="H10" s="6"/>
      <c r="I10" s="6"/>
      <c r="J10" s="1" t="s">
        <v>204</v>
      </c>
      <c r="K10" s="2" t="s">
        <v>34</v>
      </c>
      <c r="L10" s="3" t="s">
        <v>141</v>
      </c>
      <c r="M10" s="4" t="s">
        <v>127</v>
      </c>
      <c r="N10" s="1" t="s">
        <v>205</v>
      </c>
      <c r="O10" s="5" t="s">
        <v>206</v>
      </c>
      <c r="P10" s="217"/>
      <c r="Q10" s="217"/>
      <c r="R10" s="217"/>
      <c r="S10" s="217"/>
      <c r="T10" s="217"/>
      <c r="U10" s="235"/>
      <c r="V10" s="217"/>
      <c r="Z10" s="217"/>
      <c r="AA10" s="217"/>
      <c r="AB10" s="217"/>
    </row>
    <row r="11" spans="1:28" s="80" customFormat="1" ht="15" customHeight="1" x14ac:dyDescent="0.15">
      <c r="A11" s="215"/>
      <c r="B11" s="215"/>
      <c r="C11" s="9"/>
      <c r="D11" s="9"/>
      <c r="E11" s="9"/>
      <c r="F11" s="9"/>
      <c r="G11" s="9"/>
      <c r="H11" s="34" t="s">
        <v>347</v>
      </c>
      <c r="I11" s="9"/>
      <c r="J11" s="11"/>
      <c r="K11" s="8"/>
      <c r="L11" s="12"/>
      <c r="M11" s="13"/>
      <c r="N11" s="11"/>
      <c r="O11" s="14"/>
      <c r="P11" s="217"/>
      <c r="Q11" s="217"/>
      <c r="R11" s="217"/>
      <c r="S11" s="217"/>
      <c r="T11" s="217"/>
      <c r="U11" s="235"/>
      <c r="V11" s="217"/>
      <c r="Z11" s="217"/>
      <c r="AA11" s="217"/>
      <c r="AB11" s="217"/>
    </row>
    <row r="12" spans="1:28" s="80" customFormat="1" ht="15" customHeight="1" x14ac:dyDescent="0.15">
      <c r="A12" s="215"/>
      <c r="B12" s="215"/>
      <c r="C12" s="241" t="s">
        <v>604</v>
      </c>
      <c r="D12" s="236"/>
      <c r="E12" s="237">
        <f>E14</f>
        <v>0</v>
      </c>
      <c r="F12" s="845">
        <v>0</v>
      </c>
      <c r="G12" s="845">
        <f>IF(I12&lt;1,0,CEILING((G14-100)/I14,250))</f>
        <v>0</v>
      </c>
      <c r="H12" s="237" t="str">
        <f>E12&amp;G12&amp;F12</f>
        <v>000</v>
      </c>
      <c r="I12" s="236">
        <f>IF(F14=0,0,IF(G14=0,0,(F14/(IF(D14="WALL",F14,(F14/2)))*I14)))</f>
        <v>0</v>
      </c>
      <c r="J12" s="238"/>
      <c r="K12" s="154">
        <f>SUBTOTAL(9,K14:K32)</f>
        <v>50</v>
      </c>
      <c r="L12" s="15" t="str">
        <f>IF(K14=0,"-",O12/M12)</f>
        <v>-</v>
      </c>
      <c r="M12" s="154">
        <f>SUBTOTAL(9,M14:M30)</f>
        <v>0</v>
      </c>
      <c r="N12" s="464">
        <f>SUBTOTAL(9,N14:N32)</f>
        <v>89.285714285714278</v>
      </c>
      <c r="O12" s="154">
        <f>SUBTOTAL(9,O14:O32)</f>
        <v>39.285714285714278</v>
      </c>
      <c r="P12" s="217"/>
      <c r="Q12" s="217"/>
      <c r="R12" s="217"/>
      <c r="S12" s="217"/>
      <c r="T12" s="217"/>
      <c r="U12" s="235"/>
      <c r="V12" s="217"/>
      <c r="Z12" s="217"/>
      <c r="AA12" s="217"/>
      <c r="AB12" s="217"/>
    </row>
    <row r="13" spans="1:28" ht="15" customHeight="1" x14ac:dyDescent="0.15">
      <c r="C13" s="7"/>
      <c r="D13" s="10" t="s">
        <v>198</v>
      </c>
      <c r="E13" s="27" t="s">
        <v>972</v>
      </c>
      <c r="F13" s="10" t="s">
        <v>128</v>
      </c>
      <c r="G13" s="10" t="s">
        <v>129</v>
      </c>
      <c r="H13" s="10" t="s">
        <v>172</v>
      </c>
      <c r="I13" s="10" t="s">
        <v>197</v>
      </c>
      <c r="J13" s="349"/>
      <c r="K13" s="350"/>
      <c r="L13" s="350"/>
      <c r="M13" s="351"/>
      <c r="N13" s="352"/>
      <c r="O13" s="5"/>
      <c r="U13" s="229"/>
      <c r="AA13" s="217"/>
    </row>
    <row r="14" spans="1:28" ht="15" customHeight="1" x14ac:dyDescent="0.2">
      <c r="A14" s="215">
        <v>210</v>
      </c>
      <c r="C14" s="269" t="s">
        <v>948</v>
      </c>
      <c r="D14" s="460" t="s">
        <v>962</v>
      </c>
      <c r="E14" s="448">
        <v>0</v>
      </c>
      <c r="F14" s="844">
        <v>800</v>
      </c>
      <c r="G14" s="842">
        <v>1400</v>
      </c>
      <c r="H14" s="843">
        <v>500</v>
      </c>
      <c r="I14" s="31"/>
      <c r="J14" s="380">
        <v>2055</v>
      </c>
      <c r="K14" s="378">
        <f>SUM(J14*E14)</f>
        <v>0</v>
      </c>
      <c r="L14" s="392">
        <v>0.435</v>
      </c>
      <c r="M14" s="311">
        <f t="shared" ref="M14:M30" si="0">(K14/(1-L14))*(1+$D$9)</f>
        <v>0</v>
      </c>
      <c r="N14" s="378">
        <f>(M14*VLOOKUP($C$9,'Base Costs'!$A$32:$B$37,2,FALSE))</f>
        <v>0</v>
      </c>
      <c r="O14" s="379">
        <f t="shared" ref="O14:O30" si="1">M14-K14</f>
        <v>0</v>
      </c>
      <c r="U14" s="229"/>
      <c r="AA14" s="217"/>
    </row>
    <row r="15" spans="1:28" ht="15" customHeight="1" x14ac:dyDescent="0.2">
      <c r="A15" s="215">
        <v>104</v>
      </c>
      <c r="C15" s="269" t="s">
        <v>949</v>
      </c>
      <c r="D15" s="460" t="s">
        <v>950</v>
      </c>
      <c r="E15" s="448">
        <v>0</v>
      </c>
      <c r="F15" s="844">
        <v>800</v>
      </c>
      <c r="G15" s="842">
        <v>1400</v>
      </c>
      <c r="H15" s="843">
        <v>500</v>
      </c>
      <c r="I15" s="31"/>
      <c r="J15" s="380">
        <v>2188</v>
      </c>
      <c r="K15" s="378">
        <f t="shared" ref="K15:K32" si="2">SUM(J15*E15)</f>
        <v>0</v>
      </c>
      <c r="L15" s="392">
        <v>0.435</v>
      </c>
      <c r="M15" s="311">
        <f t="shared" si="0"/>
        <v>0</v>
      </c>
      <c r="N15" s="378">
        <f>(M15*VLOOKUP($C$9,'Base Costs'!$A$32:$B$37,2,FALSE))</f>
        <v>0</v>
      </c>
      <c r="O15" s="379">
        <f t="shared" si="1"/>
        <v>0</v>
      </c>
      <c r="U15" s="229"/>
      <c r="AA15" s="217"/>
    </row>
    <row r="16" spans="1:28" ht="15" customHeight="1" x14ac:dyDescent="0.2">
      <c r="A16" s="215">
        <v>234</v>
      </c>
      <c r="C16" s="269" t="s">
        <v>947</v>
      </c>
      <c r="D16" s="460" t="s">
        <v>951</v>
      </c>
      <c r="E16" s="461">
        <v>0</v>
      </c>
      <c r="F16" s="844">
        <v>800</v>
      </c>
      <c r="G16" s="842">
        <v>1400</v>
      </c>
      <c r="H16" s="843">
        <v>500</v>
      </c>
      <c r="I16" s="31"/>
      <c r="J16" s="380">
        <v>2304</v>
      </c>
      <c r="K16" s="378">
        <f t="shared" si="2"/>
        <v>0</v>
      </c>
      <c r="L16" s="392">
        <v>0.44</v>
      </c>
      <c r="M16" s="311">
        <f t="shared" si="0"/>
        <v>0</v>
      </c>
      <c r="N16" s="378">
        <f>(M16*VLOOKUP($C$9,'Base Costs'!$A$32:$B$37,2,FALSE))</f>
        <v>0</v>
      </c>
      <c r="O16" s="379">
        <f t="shared" si="1"/>
        <v>0</v>
      </c>
      <c r="U16" s="229"/>
      <c r="AA16" s="217"/>
    </row>
    <row r="17" spans="1:27" ht="15" customHeight="1" x14ac:dyDescent="0.2">
      <c r="C17" s="269" t="s">
        <v>947</v>
      </c>
      <c r="D17" s="460" t="s">
        <v>952</v>
      </c>
      <c r="E17" s="448">
        <v>0</v>
      </c>
      <c r="F17" s="844">
        <v>800</v>
      </c>
      <c r="G17" s="842">
        <v>1900</v>
      </c>
      <c r="H17" s="843">
        <v>600</v>
      </c>
      <c r="I17" s="31"/>
      <c r="J17" s="380">
        <v>2150</v>
      </c>
      <c r="K17" s="378">
        <f t="shared" si="2"/>
        <v>0</v>
      </c>
      <c r="L17" s="392">
        <v>0.435</v>
      </c>
      <c r="M17" s="311">
        <f t="shared" si="0"/>
        <v>0</v>
      </c>
      <c r="N17" s="378">
        <f>(M17*VLOOKUP($C$9,'Base Costs'!$A$32:$B$37,2,FALSE))</f>
        <v>0</v>
      </c>
      <c r="O17" s="379">
        <f t="shared" si="1"/>
        <v>0</v>
      </c>
      <c r="U17" s="229"/>
      <c r="AA17" s="217"/>
    </row>
    <row r="18" spans="1:27" ht="15" customHeight="1" x14ac:dyDescent="0.2">
      <c r="C18" s="269" t="s">
        <v>953</v>
      </c>
      <c r="D18" s="460" t="s">
        <v>954</v>
      </c>
      <c r="E18" s="448">
        <v>0</v>
      </c>
      <c r="F18" s="844">
        <v>800</v>
      </c>
      <c r="G18" s="842">
        <v>1900</v>
      </c>
      <c r="H18" s="843">
        <v>600</v>
      </c>
      <c r="I18" s="31"/>
      <c r="J18" s="380">
        <v>2240</v>
      </c>
      <c r="K18" s="378">
        <f t="shared" si="2"/>
        <v>0</v>
      </c>
      <c r="L18" s="392">
        <v>0.435</v>
      </c>
      <c r="M18" s="311">
        <f t="shared" si="0"/>
        <v>0</v>
      </c>
      <c r="N18" s="378">
        <f>(M18*VLOOKUP($C$9,'Base Costs'!$A$32:$B$37,2,FALSE))</f>
        <v>0</v>
      </c>
      <c r="O18" s="379">
        <f t="shared" si="1"/>
        <v>0</v>
      </c>
      <c r="U18" s="229"/>
      <c r="AA18" s="217"/>
    </row>
    <row r="19" spans="1:27" ht="15" customHeight="1" x14ac:dyDescent="0.2">
      <c r="C19" s="269" t="s">
        <v>955</v>
      </c>
      <c r="D19" s="460" t="s">
        <v>956</v>
      </c>
      <c r="E19" s="448">
        <v>0</v>
      </c>
      <c r="F19" s="844">
        <v>800</v>
      </c>
      <c r="G19" s="842">
        <v>1900</v>
      </c>
      <c r="H19" s="843">
        <v>600</v>
      </c>
      <c r="I19" s="31"/>
      <c r="J19" s="380">
        <v>2481</v>
      </c>
      <c r="K19" s="378">
        <f t="shared" si="2"/>
        <v>0</v>
      </c>
      <c r="L19" s="392">
        <v>0.435</v>
      </c>
      <c r="M19" s="311">
        <f t="shared" si="0"/>
        <v>0</v>
      </c>
      <c r="N19" s="378">
        <f>(M19*VLOOKUP($C$9,'Base Costs'!$A$32:$B$37,2,FALSE))</f>
        <v>0</v>
      </c>
      <c r="O19" s="379">
        <f t="shared" si="1"/>
        <v>0</v>
      </c>
      <c r="U19" s="229"/>
      <c r="AA19" s="217"/>
    </row>
    <row r="20" spans="1:27" ht="15" customHeight="1" x14ac:dyDescent="0.2">
      <c r="C20" s="269" t="s">
        <v>957</v>
      </c>
      <c r="D20" s="460" t="s">
        <v>958</v>
      </c>
      <c r="E20" s="448">
        <v>0</v>
      </c>
      <c r="F20" s="844">
        <v>800</v>
      </c>
      <c r="G20" s="842">
        <v>1900</v>
      </c>
      <c r="H20" s="843">
        <v>600</v>
      </c>
      <c r="I20" s="31"/>
      <c r="J20" s="380">
        <v>2783</v>
      </c>
      <c r="K20" s="378">
        <f t="shared" si="2"/>
        <v>0</v>
      </c>
      <c r="L20" s="392">
        <v>0.435</v>
      </c>
      <c r="M20" s="311">
        <f t="shared" si="0"/>
        <v>0</v>
      </c>
      <c r="N20" s="378">
        <f>(M20*VLOOKUP($C$9,'Base Costs'!$A$32:$B$37,2,FALSE))</f>
        <v>0</v>
      </c>
      <c r="O20" s="379">
        <f t="shared" si="1"/>
        <v>0</v>
      </c>
      <c r="U20" s="229"/>
      <c r="AA20" s="217"/>
    </row>
    <row r="21" spans="1:27" ht="15" customHeight="1" x14ac:dyDescent="0.2">
      <c r="A21" s="215">
        <v>289</v>
      </c>
      <c r="C21" s="269" t="s">
        <v>959</v>
      </c>
      <c r="D21" s="460" t="s">
        <v>961</v>
      </c>
      <c r="E21" s="448">
        <v>0</v>
      </c>
      <c r="F21" s="844">
        <v>500</v>
      </c>
      <c r="G21" s="842">
        <v>1400</v>
      </c>
      <c r="H21" s="843">
        <v>500</v>
      </c>
      <c r="I21" s="31"/>
      <c r="J21" s="380">
        <v>1453</v>
      </c>
      <c r="K21" s="378">
        <f t="shared" si="2"/>
        <v>0</v>
      </c>
      <c r="L21" s="392">
        <v>0.435</v>
      </c>
      <c r="M21" s="311">
        <f t="shared" si="0"/>
        <v>0</v>
      </c>
      <c r="N21" s="378">
        <f>(M21*VLOOKUP($C$9,'Base Costs'!$A$32:$B$37,2,FALSE))</f>
        <v>0</v>
      </c>
      <c r="O21" s="379">
        <f t="shared" si="1"/>
        <v>0</v>
      </c>
      <c r="U21" s="229"/>
      <c r="AA21" s="217"/>
    </row>
    <row r="22" spans="1:27" ht="15" customHeight="1" x14ac:dyDescent="0.2">
      <c r="A22" s="215">
        <v>242</v>
      </c>
      <c r="C22" s="269" t="s">
        <v>960</v>
      </c>
      <c r="D22" s="460" t="s">
        <v>963</v>
      </c>
      <c r="E22" s="448">
        <v>0</v>
      </c>
      <c r="F22" s="844">
        <v>500</v>
      </c>
      <c r="G22" s="842">
        <v>1400</v>
      </c>
      <c r="H22" s="843">
        <v>500</v>
      </c>
      <c r="I22" s="31"/>
      <c r="J22" s="380">
        <v>1519</v>
      </c>
      <c r="K22" s="378">
        <f t="shared" si="2"/>
        <v>0</v>
      </c>
      <c r="L22" s="392">
        <v>0.435</v>
      </c>
      <c r="M22" s="311">
        <f t="shared" si="0"/>
        <v>0</v>
      </c>
      <c r="N22" s="378">
        <f>(M22*VLOOKUP($C$9,'Base Costs'!$A$32:$B$37,2,FALSE))</f>
        <v>0</v>
      </c>
      <c r="O22" s="379">
        <f t="shared" si="1"/>
        <v>0</v>
      </c>
      <c r="U22" s="229"/>
      <c r="AA22" s="217"/>
    </row>
    <row r="23" spans="1:27" ht="15" customHeight="1" x14ac:dyDescent="0.2">
      <c r="A23" s="215">
        <v>220</v>
      </c>
      <c r="C23" s="269" t="s">
        <v>965</v>
      </c>
      <c r="D23" s="460" t="s">
        <v>964</v>
      </c>
      <c r="E23" s="448">
        <v>0</v>
      </c>
      <c r="F23" s="844">
        <v>500</v>
      </c>
      <c r="G23" s="842">
        <v>1400</v>
      </c>
      <c r="H23" s="843">
        <v>500</v>
      </c>
      <c r="I23" s="31"/>
      <c r="J23" s="380">
        <v>1584</v>
      </c>
      <c r="K23" s="378">
        <f t="shared" si="2"/>
        <v>0</v>
      </c>
      <c r="L23" s="392">
        <v>0.435</v>
      </c>
      <c r="M23" s="311">
        <f t="shared" si="0"/>
        <v>0</v>
      </c>
      <c r="N23" s="378">
        <f>(M23*VLOOKUP($C$9,'Base Costs'!$A$32:$B$37,2,FALSE))</f>
        <v>0</v>
      </c>
      <c r="O23" s="379">
        <f t="shared" si="1"/>
        <v>0</v>
      </c>
      <c r="U23" s="229"/>
      <c r="AA23" s="217"/>
    </row>
    <row r="24" spans="1:27" ht="15" customHeight="1" x14ac:dyDescent="0.2">
      <c r="A24" s="215">
        <v>103</v>
      </c>
      <c r="C24" s="269" t="s">
        <v>968</v>
      </c>
      <c r="D24" s="460" t="s">
        <v>969</v>
      </c>
      <c r="E24" s="448">
        <v>0</v>
      </c>
      <c r="F24" s="844">
        <v>600</v>
      </c>
      <c r="G24" s="842">
        <v>1900</v>
      </c>
      <c r="H24" s="843">
        <v>600</v>
      </c>
      <c r="I24" s="31"/>
      <c r="J24" s="380">
        <v>1712</v>
      </c>
      <c r="K24" s="378">
        <f t="shared" si="2"/>
        <v>0</v>
      </c>
      <c r="L24" s="392">
        <v>0.435</v>
      </c>
      <c r="M24" s="311">
        <f t="shared" si="0"/>
        <v>0</v>
      </c>
      <c r="N24" s="378">
        <f>(M24*VLOOKUP($C$9,'Base Costs'!$A$32:$B$37,2,FALSE))</f>
        <v>0</v>
      </c>
      <c r="O24" s="379">
        <f t="shared" si="1"/>
        <v>0</v>
      </c>
      <c r="U24" s="229"/>
      <c r="AA24" s="217"/>
    </row>
    <row r="25" spans="1:27" ht="15" customHeight="1" x14ac:dyDescent="0.2">
      <c r="A25" s="215">
        <v>103</v>
      </c>
      <c r="C25" s="269" t="s">
        <v>966</v>
      </c>
      <c r="D25" s="460" t="s">
        <v>970</v>
      </c>
      <c r="E25" s="448">
        <v>0</v>
      </c>
      <c r="F25" s="844">
        <v>600</v>
      </c>
      <c r="G25" s="842">
        <v>1900</v>
      </c>
      <c r="H25" s="843">
        <v>600</v>
      </c>
      <c r="I25" s="31"/>
      <c r="J25" s="380">
        <v>1777</v>
      </c>
      <c r="K25" s="378">
        <f t="shared" si="2"/>
        <v>0</v>
      </c>
      <c r="L25" s="392">
        <v>0.435</v>
      </c>
      <c r="M25" s="311">
        <f t="shared" si="0"/>
        <v>0</v>
      </c>
      <c r="N25" s="378">
        <f>(M25*VLOOKUP($C$9,'Base Costs'!$A$32:$B$37,2,FALSE))</f>
        <v>0</v>
      </c>
      <c r="O25" s="379">
        <f t="shared" si="1"/>
        <v>0</v>
      </c>
      <c r="U25" s="229"/>
      <c r="AA25" s="217"/>
    </row>
    <row r="26" spans="1:27" ht="15" customHeight="1" x14ac:dyDescent="0.2">
      <c r="C26" s="269" t="s">
        <v>967</v>
      </c>
      <c r="D26" s="460" t="s">
        <v>971</v>
      </c>
      <c r="E26" s="448">
        <v>0</v>
      </c>
      <c r="F26" s="844">
        <v>600</v>
      </c>
      <c r="G26" s="842">
        <v>1900</v>
      </c>
      <c r="H26" s="843">
        <v>600</v>
      </c>
      <c r="I26" s="31"/>
      <c r="J26" s="380">
        <v>1904</v>
      </c>
      <c r="K26" s="378">
        <f t="shared" si="2"/>
        <v>0</v>
      </c>
      <c r="L26" s="392">
        <v>0.435</v>
      </c>
      <c r="M26" s="311">
        <f t="shared" si="0"/>
        <v>0</v>
      </c>
      <c r="N26" s="378">
        <f>(M26*VLOOKUP($C$9,'Base Costs'!$A$32:$B$37,2,FALSE))</f>
        <v>0</v>
      </c>
      <c r="O26" s="379">
        <f t="shared" si="1"/>
        <v>0</v>
      </c>
      <c r="U26" s="229"/>
      <c r="AA26" s="217"/>
    </row>
    <row r="27" spans="1:27" ht="15" customHeight="1" x14ac:dyDescent="0.15">
      <c r="A27" s="215">
        <v>285</v>
      </c>
      <c r="C27" s="269"/>
      <c r="D27" s="460" t="s">
        <v>603</v>
      </c>
      <c r="E27" s="448">
        <v>0</v>
      </c>
      <c r="F27" s="28"/>
      <c r="G27" s="28"/>
      <c r="H27" s="32"/>
      <c r="I27" s="31"/>
      <c r="J27" s="380"/>
      <c r="K27" s="378">
        <f t="shared" si="2"/>
        <v>0</v>
      </c>
      <c r="L27" s="392">
        <v>0.435</v>
      </c>
      <c r="M27" s="311">
        <f t="shared" si="0"/>
        <v>0</v>
      </c>
      <c r="N27" s="378">
        <f>(M27*VLOOKUP($C$9,'Base Costs'!$A$32:$B$37,2,FALSE))</f>
        <v>0</v>
      </c>
      <c r="O27" s="379">
        <f t="shared" si="1"/>
        <v>0</v>
      </c>
      <c r="U27" s="229"/>
      <c r="AA27" s="217"/>
    </row>
    <row r="28" spans="1:27" ht="15" customHeight="1" x14ac:dyDescent="0.15">
      <c r="C28" s="269"/>
      <c r="D28" s="460" t="s">
        <v>603</v>
      </c>
      <c r="E28" s="448">
        <v>0</v>
      </c>
      <c r="F28" s="28"/>
      <c r="G28" s="28"/>
      <c r="H28" s="32"/>
      <c r="I28" s="31"/>
      <c r="J28" s="380">
        <f>IF(E28=0,0,36)</f>
        <v>0</v>
      </c>
      <c r="K28" s="378">
        <f t="shared" si="2"/>
        <v>0</v>
      </c>
      <c r="L28" s="392">
        <v>0.435</v>
      </c>
      <c r="M28" s="311">
        <f t="shared" si="0"/>
        <v>0</v>
      </c>
      <c r="N28" s="378">
        <f>(M28*VLOOKUP($C$9,'Base Costs'!$A$32:$B$37,2,FALSE))</f>
        <v>0</v>
      </c>
      <c r="O28" s="379">
        <f t="shared" si="1"/>
        <v>0</v>
      </c>
      <c r="U28" s="229"/>
      <c r="AA28" s="217"/>
    </row>
    <row r="29" spans="1:27" ht="15" customHeight="1" x14ac:dyDescent="0.15">
      <c r="C29" s="269"/>
      <c r="D29" s="460" t="s">
        <v>603</v>
      </c>
      <c r="E29" s="448">
        <v>0</v>
      </c>
      <c r="F29" s="28"/>
      <c r="G29" s="28"/>
      <c r="H29" s="32"/>
      <c r="I29" s="31"/>
      <c r="J29" s="380"/>
      <c r="K29" s="378">
        <f t="shared" si="2"/>
        <v>0</v>
      </c>
      <c r="L29" s="392">
        <v>0.435</v>
      </c>
      <c r="M29" s="311">
        <f t="shared" si="0"/>
        <v>0</v>
      </c>
      <c r="N29" s="378">
        <f>(M29*VLOOKUP($C$9,'Base Costs'!$A$32:$B$37,2,FALSE))</f>
        <v>0</v>
      </c>
      <c r="O29" s="379">
        <f t="shared" si="1"/>
        <v>0</v>
      </c>
      <c r="U29" s="229"/>
      <c r="AA29" s="217"/>
    </row>
    <row r="30" spans="1:27" ht="15" customHeight="1" x14ac:dyDescent="0.15">
      <c r="A30" s="215">
        <v>286</v>
      </c>
      <c r="C30" s="269"/>
      <c r="D30" s="460" t="s">
        <v>603</v>
      </c>
      <c r="E30" s="448">
        <v>0</v>
      </c>
      <c r="F30" s="28"/>
      <c r="G30" s="28"/>
      <c r="H30" s="30"/>
      <c r="I30" s="31"/>
      <c r="J30" s="380">
        <f>IF(E30=0,0,100)</f>
        <v>0</v>
      </c>
      <c r="K30" s="378">
        <f t="shared" si="2"/>
        <v>0</v>
      </c>
      <c r="L30" s="392">
        <v>0.435</v>
      </c>
      <c r="M30" s="311">
        <f t="shared" si="0"/>
        <v>0</v>
      </c>
      <c r="N30" s="378">
        <f>(M30*VLOOKUP($C$9,'Base Costs'!$A$32:$B$37,2,FALSE))</f>
        <v>0</v>
      </c>
      <c r="O30" s="379">
        <f t="shared" si="1"/>
        <v>0</v>
      </c>
      <c r="U30" s="229"/>
      <c r="AA30" s="217"/>
    </row>
    <row r="31" spans="1:27" ht="15" customHeight="1" x14ac:dyDescent="0.15">
      <c r="C31" s="269"/>
      <c r="D31" s="460" t="s">
        <v>603</v>
      </c>
      <c r="E31" s="448">
        <v>0</v>
      </c>
      <c r="F31" s="462"/>
      <c r="G31" s="32"/>
      <c r="H31" s="30"/>
      <c r="I31" s="31"/>
      <c r="J31" s="841"/>
      <c r="K31" s="378">
        <f t="shared" si="2"/>
        <v>0</v>
      </c>
      <c r="L31" s="392">
        <v>0.435</v>
      </c>
      <c r="M31" s="311">
        <f>(K31/(1-L31))*(1+$D$9)</f>
        <v>0</v>
      </c>
      <c r="N31" s="378">
        <f>(M31*VLOOKUP($C$9,'Base Costs'!$A$32:$B$37,2,FALSE))</f>
        <v>0</v>
      </c>
      <c r="O31" s="379">
        <f>M31-K31</f>
        <v>0</v>
      </c>
      <c r="U31" s="229"/>
      <c r="AA31" s="217"/>
    </row>
    <row r="32" spans="1:27" ht="15" customHeight="1" x14ac:dyDescent="0.15">
      <c r="C32" s="984" t="s">
        <v>1368</v>
      </c>
      <c r="D32" s="1031" t="s">
        <v>1367</v>
      </c>
      <c r="E32" s="1032">
        <v>1</v>
      </c>
      <c r="F32" s="1037"/>
      <c r="G32" s="996"/>
      <c r="H32" s="1038"/>
      <c r="I32" s="1035"/>
      <c r="J32" s="1039">
        <v>50</v>
      </c>
      <c r="K32" s="1002">
        <f t="shared" si="2"/>
        <v>50</v>
      </c>
      <c r="L32" s="1036">
        <v>0.44</v>
      </c>
      <c r="M32" s="1004">
        <f>(K32/(1-L32))*(1+$D$9)</f>
        <v>89.285714285714278</v>
      </c>
      <c r="N32" s="1002">
        <f>(M32*VLOOKUP($C$9,'Base Costs'!$A$32:$B$37,2,FALSE))</f>
        <v>89.285714285714278</v>
      </c>
      <c r="O32" s="1005">
        <f>M32-K32</f>
        <v>39.285714285714278</v>
      </c>
      <c r="P32" s="996" t="s">
        <v>1416</v>
      </c>
      <c r="U32" s="229"/>
      <c r="AA32" s="217"/>
    </row>
    <row r="33" spans="1:27" ht="15" customHeight="1" x14ac:dyDescent="0.15">
      <c r="H33" s="34" t="s">
        <v>347</v>
      </c>
    </row>
    <row r="34" spans="1:27" ht="15" customHeight="1" x14ac:dyDescent="0.15">
      <c r="C34" s="239"/>
      <c r="D34" s="239"/>
      <c r="E34" s="239"/>
      <c r="F34" s="239"/>
      <c r="G34" s="239"/>
      <c r="H34" s="239"/>
      <c r="I34" s="9"/>
      <c r="J34" s="11"/>
      <c r="K34" s="353"/>
      <c r="L34" s="240"/>
      <c r="M34" s="353"/>
      <c r="N34" s="353"/>
      <c r="U34" s="229"/>
      <c r="AA34" s="217"/>
    </row>
    <row r="35" spans="1:27" ht="15" customHeight="1" x14ac:dyDescent="0.15">
      <c r="C35" s="1094" t="s">
        <v>47</v>
      </c>
      <c r="D35" s="1094"/>
      <c r="E35" s="1094"/>
      <c r="F35" s="1094"/>
      <c r="G35" s="1094"/>
      <c r="H35" s="1094"/>
      <c r="I35" s="236"/>
      <c r="J35" s="330"/>
      <c r="K35" s="154">
        <f>SUBTOTAL(9,K36:K46)</f>
        <v>0</v>
      </c>
      <c r="L35" s="15" t="str">
        <f>IF(K35=0,"-",O35/M35)</f>
        <v>-</v>
      </c>
      <c r="M35" s="154">
        <f>SUBTOTAL(9,M36:M46)</f>
        <v>0</v>
      </c>
      <c r="N35" s="464">
        <f>SUBTOTAL(9,N36:N46)</f>
        <v>0</v>
      </c>
      <c r="O35" s="154">
        <f>SUBTOTAL(9,O37:O46)</f>
        <v>0</v>
      </c>
      <c r="U35" s="229"/>
    </row>
    <row r="36" spans="1:27" ht="15" customHeight="1" x14ac:dyDescent="0.15">
      <c r="A36" s="215">
        <v>222</v>
      </c>
      <c r="C36" s="269" t="s">
        <v>10</v>
      </c>
      <c r="D36" s="242"/>
      <c r="E36" s="309" t="s">
        <v>45</v>
      </c>
      <c r="F36" s="28"/>
      <c r="G36" s="30"/>
      <c r="H36" s="28"/>
      <c r="I36" s="28"/>
      <c r="J36" s="385">
        <f>VLOOKUP(E36,'Base Costs'!E4:G213,2,FALSE)</f>
        <v>0</v>
      </c>
      <c r="K36" s="378">
        <f t="shared" ref="K36:K46" si="3">D36*J36</f>
        <v>0</v>
      </c>
      <c r="L36" s="392">
        <v>0.33</v>
      </c>
      <c r="M36" s="311">
        <f t="shared" ref="M36:M46" si="4">(K36/(1-L36))*(1+$D$9)</f>
        <v>0</v>
      </c>
      <c r="N36" s="378">
        <f>(M36*VLOOKUP($C$9,'Base Costs'!$A$32:$B$37,2,FALSE))</f>
        <v>0</v>
      </c>
      <c r="O36" s="379">
        <f t="shared" ref="O36:O46" si="5">M36-K36</f>
        <v>0</v>
      </c>
      <c r="U36" s="229"/>
    </row>
    <row r="37" spans="1:27" ht="15" customHeight="1" x14ac:dyDescent="0.15">
      <c r="A37" s="215">
        <v>257</v>
      </c>
      <c r="C37" s="269" t="s">
        <v>36</v>
      </c>
      <c r="D37" s="242"/>
      <c r="E37" s="309" t="s">
        <v>184</v>
      </c>
      <c r="F37" s="28"/>
      <c r="G37" s="28"/>
      <c r="H37" s="28"/>
      <c r="I37" s="28"/>
      <c r="J37" s="385">
        <f>VLOOKUP(E37,'Base Costs'!$A$4:$B$16,2,FALSE)</f>
        <v>0</v>
      </c>
      <c r="K37" s="378">
        <f t="shared" si="3"/>
        <v>0</v>
      </c>
      <c r="L37" s="392">
        <v>0.33</v>
      </c>
      <c r="M37" s="311">
        <f t="shared" si="4"/>
        <v>0</v>
      </c>
      <c r="N37" s="378">
        <f>(M37*VLOOKUP($C$9,'Base Costs'!$A$32:$B$37,2,FALSE))</f>
        <v>0</v>
      </c>
      <c r="O37" s="379">
        <f t="shared" si="5"/>
        <v>0</v>
      </c>
      <c r="U37" s="229"/>
    </row>
    <row r="38" spans="1:27" ht="15" customHeight="1" x14ac:dyDescent="0.15">
      <c r="A38" s="215">
        <v>257</v>
      </c>
      <c r="C38" s="269" t="s">
        <v>36</v>
      </c>
      <c r="D38" s="242"/>
      <c r="E38" s="309" t="s">
        <v>184</v>
      </c>
      <c r="F38" s="28"/>
      <c r="G38" s="28"/>
      <c r="H38" s="28"/>
      <c r="I38" s="28"/>
      <c r="J38" s="385">
        <f>VLOOKUP(E38,'Base Costs'!$A$4:$B$16,2,FALSE)</f>
        <v>0</v>
      </c>
      <c r="K38" s="378">
        <f t="shared" si="3"/>
        <v>0</v>
      </c>
      <c r="L38" s="392">
        <v>0.33</v>
      </c>
      <c r="M38" s="311">
        <f t="shared" si="4"/>
        <v>0</v>
      </c>
      <c r="N38" s="378">
        <f>(M38*VLOOKUP($C$9,'Base Costs'!$A$32:$B$37,2,FALSE))</f>
        <v>0</v>
      </c>
      <c r="O38" s="379">
        <f t="shared" si="5"/>
        <v>0</v>
      </c>
      <c r="U38" s="229"/>
    </row>
    <row r="39" spans="1:27" ht="15" customHeight="1" x14ac:dyDescent="0.15">
      <c r="A39" s="215">
        <v>400</v>
      </c>
      <c r="C39" s="269" t="s">
        <v>16</v>
      </c>
      <c r="D39" s="242"/>
      <c r="E39" s="28" t="s">
        <v>137</v>
      </c>
      <c r="F39" s="28"/>
      <c r="G39" s="28"/>
      <c r="H39" s="28"/>
      <c r="I39" s="28"/>
      <c r="J39" s="385">
        <v>610</v>
      </c>
      <c r="K39" s="378">
        <f t="shared" si="3"/>
        <v>0</v>
      </c>
      <c r="L39" s="392">
        <v>0.33</v>
      </c>
      <c r="M39" s="311">
        <f t="shared" si="4"/>
        <v>0</v>
      </c>
      <c r="N39" s="378">
        <f>(M39*VLOOKUP($C$9,'Base Costs'!$A$32:$B$37,2,FALSE))</f>
        <v>0</v>
      </c>
      <c r="O39" s="379">
        <f t="shared" si="5"/>
        <v>0</v>
      </c>
      <c r="U39" s="229"/>
    </row>
    <row r="40" spans="1:27" ht="15" customHeight="1" x14ac:dyDescent="0.15">
      <c r="A40" s="215">
        <v>102</v>
      </c>
      <c r="C40" s="269" t="s">
        <v>13</v>
      </c>
      <c r="D40" s="242"/>
      <c r="E40" s="28" t="s">
        <v>199</v>
      </c>
      <c r="F40" s="28"/>
      <c r="G40" s="28"/>
      <c r="H40" s="28"/>
      <c r="I40" s="28"/>
      <c r="J40" s="385">
        <v>15</v>
      </c>
      <c r="K40" s="378">
        <f t="shared" si="3"/>
        <v>0</v>
      </c>
      <c r="L40" s="392">
        <v>0.33</v>
      </c>
      <c r="M40" s="311">
        <f t="shared" si="4"/>
        <v>0</v>
      </c>
      <c r="N40" s="378">
        <f>(M40*VLOOKUP($C$9,'Base Costs'!$A$32:$B$37,2,FALSE))</f>
        <v>0</v>
      </c>
      <c r="O40" s="379">
        <f t="shared" si="5"/>
        <v>0</v>
      </c>
      <c r="U40" s="229"/>
    </row>
    <row r="41" spans="1:27" ht="15" customHeight="1" x14ac:dyDescent="0.15">
      <c r="A41" s="215">
        <v>400</v>
      </c>
      <c r="C41" s="269" t="s">
        <v>135</v>
      </c>
      <c r="D41" s="242"/>
      <c r="E41" s="28" t="s">
        <v>887</v>
      </c>
      <c r="F41" s="28"/>
      <c r="G41" s="28"/>
      <c r="H41" s="28"/>
      <c r="I41" s="28"/>
      <c r="J41" s="385">
        <v>610</v>
      </c>
      <c r="K41" s="378">
        <f t="shared" si="3"/>
        <v>0</v>
      </c>
      <c r="L41" s="392">
        <v>0.4</v>
      </c>
      <c r="M41" s="311">
        <f t="shared" si="4"/>
        <v>0</v>
      </c>
      <c r="N41" s="378">
        <f>(M41*VLOOKUP($C$9,'Base Costs'!$A$32:$B$37,2,FALSE))</f>
        <v>0</v>
      </c>
      <c r="O41" s="379">
        <f t="shared" si="5"/>
        <v>0</v>
      </c>
      <c r="U41" s="229"/>
    </row>
    <row r="42" spans="1:27" ht="15" customHeight="1" x14ac:dyDescent="0.15">
      <c r="A42" s="215">
        <v>400</v>
      </c>
      <c r="C42" s="269" t="s">
        <v>136</v>
      </c>
      <c r="D42" s="242"/>
      <c r="E42" s="28" t="s">
        <v>887</v>
      </c>
      <c r="F42" s="28"/>
      <c r="G42" s="28"/>
      <c r="H42" s="28"/>
      <c r="I42" s="28"/>
      <c r="J42" s="385">
        <v>1220</v>
      </c>
      <c r="K42" s="378">
        <f t="shared" si="3"/>
        <v>0</v>
      </c>
      <c r="L42" s="392">
        <v>0.4</v>
      </c>
      <c r="M42" s="311">
        <f t="shared" si="4"/>
        <v>0</v>
      </c>
      <c r="N42" s="378">
        <f>(M42*VLOOKUP($C$9,'Base Costs'!$A$32:$B$37,2,FALSE))</f>
        <v>0</v>
      </c>
      <c r="O42" s="379">
        <f t="shared" si="5"/>
        <v>0</v>
      </c>
      <c r="U42" s="229"/>
    </row>
    <row r="43" spans="1:27" ht="15" customHeight="1" x14ac:dyDescent="0.15">
      <c r="A43" s="215">
        <v>253</v>
      </c>
      <c r="C43" s="269" t="s">
        <v>539</v>
      </c>
      <c r="D43" s="242"/>
      <c r="E43" s="28" t="s">
        <v>139</v>
      </c>
      <c r="F43" s="28"/>
      <c r="G43" s="28"/>
      <c r="H43" s="28"/>
      <c r="I43" s="28"/>
      <c r="J43" s="385">
        <v>150</v>
      </c>
      <c r="K43" s="378">
        <f t="shared" si="3"/>
        <v>0</v>
      </c>
      <c r="L43" s="392">
        <v>0.33</v>
      </c>
      <c r="M43" s="311">
        <f t="shared" si="4"/>
        <v>0</v>
      </c>
      <c r="N43" s="378">
        <f>(M43*VLOOKUP($C$9,'Base Costs'!$A$32:$B$37,2,FALSE))</f>
        <v>0</v>
      </c>
      <c r="O43" s="379">
        <f t="shared" si="5"/>
        <v>0</v>
      </c>
      <c r="U43" s="229"/>
    </row>
    <row r="44" spans="1:27" ht="15" customHeight="1" x14ac:dyDescent="0.15">
      <c r="A44" s="215">
        <v>253</v>
      </c>
      <c r="C44" s="269" t="s">
        <v>12</v>
      </c>
      <c r="D44" s="242"/>
      <c r="E44" s="28" t="s">
        <v>139</v>
      </c>
      <c r="F44" s="28"/>
      <c r="G44" s="28"/>
      <c r="H44" s="28"/>
      <c r="I44" s="28"/>
      <c r="J44" s="385">
        <v>220</v>
      </c>
      <c r="K44" s="378">
        <f t="shared" si="3"/>
        <v>0</v>
      </c>
      <c r="L44" s="392">
        <v>0.33</v>
      </c>
      <c r="M44" s="311">
        <f t="shared" si="4"/>
        <v>0</v>
      </c>
      <c r="N44" s="378">
        <f>(M44*VLOOKUP($C$9,'Base Costs'!$A$32:$B$37,2,FALSE))</f>
        <v>0</v>
      </c>
      <c r="O44" s="379">
        <f t="shared" si="5"/>
        <v>0</v>
      </c>
      <c r="U44" s="229"/>
    </row>
    <row r="45" spans="1:27" ht="15" customHeight="1" x14ac:dyDescent="0.15">
      <c r="A45" s="215">
        <v>280</v>
      </c>
      <c r="C45" s="269" t="s">
        <v>32</v>
      </c>
      <c r="D45" s="242"/>
      <c r="E45" s="28" t="s">
        <v>140</v>
      </c>
      <c r="F45" s="28"/>
      <c r="G45" s="28"/>
      <c r="H45" s="28"/>
      <c r="I45" s="28"/>
      <c r="J45" s="385">
        <v>604</v>
      </c>
      <c r="K45" s="378">
        <f t="shared" si="3"/>
        <v>0</v>
      </c>
      <c r="L45" s="392">
        <v>0.33</v>
      </c>
      <c r="M45" s="311">
        <f>(K45/(1-L45))*(1+$D$9)</f>
        <v>0</v>
      </c>
      <c r="N45" s="378">
        <f>(M45*VLOOKUP($C$9,'Base Costs'!$A$32:$B$37,2,FALSE))</f>
        <v>0</v>
      </c>
      <c r="O45" s="379">
        <f>M45-K45</f>
        <v>0</v>
      </c>
      <c r="U45" s="229"/>
    </row>
    <row r="46" spans="1:27" ht="15" customHeight="1" x14ac:dyDescent="0.15">
      <c r="A46" s="215">
        <v>284</v>
      </c>
      <c r="C46" s="269" t="s">
        <v>200</v>
      </c>
      <c r="D46" s="242"/>
      <c r="E46" s="28" t="s">
        <v>201</v>
      </c>
      <c r="F46" s="28"/>
      <c r="G46" s="28"/>
      <c r="H46" s="28"/>
      <c r="I46" s="28"/>
      <c r="J46" s="385">
        <v>350</v>
      </c>
      <c r="K46" s="378">
        <f t="shared" si="3"/>
        <v>0</v>
      </c>
      <c r="L46" s="392">
        <v>0.33</v>
      </c>
      <c r="M46" s="311">
        <f t="shared" si="4"/>
        <v>0</v>
      </c>
      <c r="N46" s="378">
        <f>(M46*VLOOKUP($C$9,'Base Costs'!$A$32:$B$37,2,FALSE))</f>
        <v>0</v>
      </c>
      <c r="O46" s="379">
        <f t="shared" si="5"/>
        <v>0</v>
      </c>
      <c r="U46" s="229"/>
    </row>
    <row r="47" spans="1:27" ht="15" customHeight="1" x14ac:dyDescent="0.15">
      <c r="C47" s="239"/>
      <c r="D47" s="239"/>
      <c r="E47" s="239"/>
      <c r="F47" s="239"/>
      <c r="G47" s="239"/>
      <c r="H47" s="243"/>
      <c r="I47" s="244"/>
      <c r="J47" s="354"/>
      <c r="K47" s="353"/>
      <c r="L47" s="355"/>
      <c r="M47" s="353"/>
      <c r="N47" s="353"/>
      <c r="U47" s="229"/>
    </row>
    <row r="48" spans="1:27" ht="15" customHeight="1" x14ac:dyDescent="0.2">
      <c r="C48" s="197" t="s">
        <v>121</v>
      </c>
      <c r="D48" s="198"/>
      <c r="E48" s="199"/>
      <c r="F48" s="199"/>
      <c r="G48" s="198"/>
      <c r="H48" s="200"/>
      <c r="I48" s="198"/>
      <c r="J48" s="198"/>
      <c r="K48" s="198"/>
      <c r="L48" s="198"/>
      <c r="M48" s="198"/>
      <c r="N48" s="198"/>
      <c r="O48" s="198"/>
      <c r="U48" s="229"/>
    </row>
    <row r="49" spans="3:21" ht="15" customHeight="1" x14ac:dyDescent="0.2">
      <c r="C49" s="202"/>
      <c r="D49" s="203"/>
      <c r="E49" s="202"/>
      <c r="F49" s="204"/>
      <c r="G49" s="202"/>
      <c r="H49" s="209"/>
      <c r="I49" s="203"/>
      <c r="J49" s="203"/>
      <c r="K49" s="205"/>
      <c r="L49" s="205"/>
      <c r="M49" s="205"/>
      <c r="N49" s="205"/>
      <c r="O49" s="205"/>
      <c r="U49" s="229"/>
    </row>
    <row r="50" spans="3:21" ht="15" customHeight="1" x14ac:dyDescent="0.2">
      <c r="C50" s="202"/>
      <c r="D50" s="203"/>
      <c r="E50" s="202"/>
      <c r="F50" s="204"/>
      <c r="G50" s="202"/>
      <c r="H50" s="209"/>
      <c r="I50" s="203"/>
      <c r="J50" s="203"/>
      <c r="K50" s="205"/>
      <c r="L50" s="205"/>
      <c r="M50" s="205"/>
      <c r="N50" s="205"/>
      <c r="O50" s="205"/>
      <c r="U50" s="229"/>
    </row>
    <row r="51" spans="3:21" ht="15" customHeight="1" x14ac:dyDescent="0.2">
      <c r="C51" s="202"/>
      <c r="D51" s="203"/>
      <c r="E51" s="202"/>
      <c r="F51" s="204"/>
      <c r="G51" s="202"/>
      <c r="H51" s="209"/>
      <c r="I51" s="203"/>
      <c r="J51" s="203"/>
      <c r="K51" s="209"/>
      <c r="L51" s="209"/>
      <c r="M51" s="209"/>
      <c r="N51" s="209"/>
      <c r="O51" s="209"/>
      <c r="U51" s="229"/>
    </row>
    <row r="52" spans="3:21" ht="15" customHeight="1" x14ac:dyDescent="0.2">
      <c r="C52" s="202"/>
      <c r="D52" s="203"/>
      <c r="E52" s="202"/>
      <c r="F52" s="204"/>
      <c r="G52" s="202"/>
      <c r="H52" s="209"/>
      <c r="I52" s="206"/>
      <c r="J52" s="203"/>
      <c r="K52" s="209"/>
      <c r="L52" s="209"/>
      <c r="M52" s="209"/>
      <c r="N52" s="209"/>
      <c r="O52" s="209"/>
      <c r="U52" s="229"/>
    </row>
    <row r="53" spans="3:21" ht="15" customHeight="1" x14ac:dyDescent="0.2">
      <c r="C53" s="202"/>
      <c r="D53" s="203"/>
      <c r="E53" s="202"/>
      <c r="F53" s="202"/>
      <c r="G53" s="202"/>
      <c r="H53" s="207"/>
      <c r="I53" s="209"/>
      <c r="J53" s="203"/>
      <c r="K53" s="205"/>
      <c r="L53" s="205"/>
      <c r="M53" s="205"/>
      <c r="N53" s="205"/>
      <c r="O53" s="205"/>
      <c r="U53" s="229"/>
    </row>
    <row r="54" spans="3:21" ht="15" customHeight="1" x14ac:dyDescent="0.2">
      <c r="C54" s="202"/>
      <c r="D54" s="202"/>
      <c r="E54" s="202"/>
      <c r="F54" s="202"/>
      <c r="G54" s="202"/>
      <c r="H54" s="207"/>
      <c r="I54" s="209"/>
      <c r="J54" s="203"/>
      <c r="K54" s="205"/>
      <c r="L54" s="205"/>
      <c r="M54" s="205"/>
      <c r="N54" s="205"/>
      <c r="O54" s="205"/>
      <c r="U54" s="229"/>
    </row>
    <row r="55" spans="3:21" ht="15" customHeight="1" x14ac:dyDescent="0.15">
      <c r="J55" s="228"/>
      <c r="M55" s="228"/>
      <c r="O55" s="228"/>
      <c r="U55" s="229"/>
    </row>
    <row r="56" spans="3:21" ht="15" customHeight="1" x14ac:dyDescent="0.15">
      <c r="J56" s="228"/>
      <c r="M56" s="228"/>
      <c r="O56" s="228"/>
      <c r="U56" s="229"/>
    </row>
    <row r="57" spans="3:21" ht="15" customHeight="1" x14ac:dyDescent="0.15">
      <c r="H57" s="219"/>
      <c r="U57" s="229"/>
    </row>
    <row r="58" spans="3:21" ht="15" customHeight="1" x14ac:dyDescent="0.15">
      <c r="H58" s="219"/>
      <c r="U58" s="229"/>
    </row>
    <row r="59" spans="3:21" ht="15" customHeight="1" x14ac:dyDescent="0.15">
      <c r="H59" s="219"/>
      <c r="U59" s="229"/>
    </row>
    <row r="60" spans="3:21" ht="15" customHeight="1" x14ac:dyDescent="0.15">
      <c r="H60" s="219"/>
      <c r="U60" s="229"/>
    </row>
    <row r="61" spans="3:21" ht="15" customHeight="1" x14ac:dyDescent="0.15">
      <c r="H61" s="219"/>
      <c r="U61" s="229"/>
    </row>
    <row r="62" spans="3:21" ht="15" customHeight="1" x14ac:dyDescent="0.15">
      <c r="H62" s="219"/>
      <c r="U62" s="229"/>
    </row>
    <row r="63" spans="3:21" ht="15" customHeight="1" x14ac:dyDescent="0.15">
      <c r="H63" s="219"/>
      <c r="U63" s="229"/>
    </row>
    <row r="64" spans="3:21" ht="15" customHeight="1" x14ac:dyDescent="0.15">
      <c r="H64" s="219"/>
      <c r="U64" s="229"/>
    </row>
    <row r="65" spans="3:21" ht="15" customHeight="1" x14ac:dyDescent="0.15">
      <c r="H65" s="219"/>
      <c r="U65" s="229"/>
    </row>
    <row r="66" spans="3:21" ht="15" customHeight="1" x14ac:dyDescent="0.15">
      <c r="C66" s="245"/>
      <c r="D66" s="245"/>
      <c r="E66" s="245"/>
      <c r="F66" s="245"/>
      <c r="G66" s="245"/>
      <c r="H66" s="245"/>
      <c r="U66" s="229"/>
    </row>
    <row r="67" spans="3:21" ht="15" customHeight="1" x14ac:dyDescent="0.15">
      <c r="U67" s="229"/>
    </row>
    <row r="68" spans="3:21" ht="15" customHeight="1" x14ac:dyDescent="0.15">
      <c r="U68" s="229"/>
    </row>
    <row r="69" spans="3:21" ht="15" customHeight="1" x14ac:dyDescent="0.15">
      <c r="U69" s="229"/>
    </row>
    <row r="70" spans="3:21" ht="15" customHeight="1" x14ac:dyDescent="0.15">
      <c r="U70" s="229"/>
    </row>
    <row r="71" spans="3:21" ht="15" customHeight="1" x14ac:dyDescent="0.15">
      <c r="U71" s="229"/>
    </row>
    <row r="72" spans="3:21" ht="15" customHeight="1" x14ac:dyDescent="0.15">
      <c r="U72" s="229"/>
    </row>
    <row r="73" spans="3:21" ht="15" customHeight="1" x14ac:dyDescent="0.15">
      <c r="U73" s="229"/>
    </row>
    <row r="74" spans="3:21" ht="15" customHeight="1" x14ac:dyDescent="0.15">
      <c r="U74" s="229"/>
    </row>
    <row r="75" spans="3:21" ht="15" customHeight="1" x14ac:dyDescent="0.15">
      <c r="U75" s="229"/>
    </row>
    <row r="76" spans="3:21" ht="15" customHeight="1" x14ac:dyDescent="0.15">
      <c r="U76" s="229"/>
    </row>
    <row r="77" spans="3:21" ht="15" customHeight="1" x14ac:dyDescent="0.15">
      <c r="U77" s="229"/>
    </row>
    <row r="78" spans="3:21" ht="15" customHeight="1" x14ac:dyDescent="0.15">
      <c r="U78" s="229"/>
    </row>
    <row r="79" spans="3:21" ht="15" customHeight="1" x14ac:dyDescent="0.15">
      <c r="U79" s="229"/>
    </row>
    <row r="80" spans="3:21" ht="15" customHeight="1" x14ac:dyDescent="0.15">
      <c r="U80" s="229"/>
    </row>
    <row r="81" spans="21:21" ht="15" customHeight="1" x14ac:dyDescent="0.15">
      <c r="U81" s="229"/>
    </row>
    <row r="82" spans="21:21" ht="15" customHeight="1" x14ac:dyDescent="0.15">
      <c r="U82" s="229"/>
    </row>
    <row r="83" spans="21:21" ht="15" customHeight="1" x14ac:dyDescent="0.15">
      <c r="U83" s="229"/>
    </row>
    <row r="84" spans="21:21" ht="15" customHeight="1" x14ac:dyDescent="0.15">
      <c r="U84" s="229"/>
    </row>
    <row r="85" spans="21:21" ht="15" customHeight="1" x14ac:dyDescent="0.15">
      <c r="U85" s="229"/>
    </row>
    <row r="86" spans="21:21" ht="15" customHeight="1" x14ac:dyDescent="0.15">
      <c r="U86" s="229"/>
    </row>
    <row r="87" spans="21:21" ht="15" customHeight="1" x14ac:dyDescent="0.15">
      <c r="U87" s="229"/>
    </row>
    <row r="88" spans="21:21" ht="15" customHeight="1" x14ac:dyDescent="0.15">
      <c r="U88" s="229"/>
    </row>
    <row r="89" spans="21:21" ht="15" customHeight="1" x14ac:dyDescent="0.15">
      <c r="U89" s="229"/>
    </row>
    <row r="90" spans="21:21" ht="15" customHeight="1" x14ac:dyDescent="0.15">
      <c r="U90" s="229"/>
    </row>
    <row r="91" spans="21:21" ht="15" customHeight="1" x14ac:dyDescent="0.15">
      <c r="U91" s="229"/>
    </row>
    <row r="92" spans="21:21" ht="15" customHeight="1" x14ac:dyDescent="0.15">
      <c r="U92" s="229"/>
    </row>
    <row r="93" spans="21:21" ht="15" customHeight="1" x14ac:dyDescent="0.15">
      <c r="U93" s="229"/>
    </row>
    <row r="94" spans="21:21" ht="15" customHeight="1" x14ac:dyDescent="0.15">
      <c r="U94" s="229"/>
    </row>
    <row r="95" spans="21:21" ht="15" customHeight="1" x14ac:dyDescent="0.15">
      <c r="U95" s="229"/>
    </row>
    <row r="96" spans="21:21" ht="15" customHeight="1" x14ac:dyDescent="0.15">
      <c r="U96" s="229"/>
    </row>
    <row r="97" spans="21:21" ht="15" customHeight="1" x14ac:dyDescent="0.15">
      <c r="U97" s="229"/>
    </row>
    <row r="98" spans="21:21" ht="15" customHeight="1" x14ac:dyDescent="0.15">
      <c r="U98" s="229"/>
    </row>
    <row r="99" spans="21:21" ht="15" customHeight="1" x14ac:dyDescent="0.15">
      <c r="U99" s="229"/>
    </row>
    <row r="100" spans="21:21" ht="15" customHeight="1" x14ac:dyDescent="0.15">
      <c r="U100" s="229"/>
    </row>
    <row r="101" spans="21:21" ht="15" customHeight="1" x14ac:dyDescent="0.15">
      <c r="U101" s="229"/>
    </row>
    <row r="102" spans="21:21" ht="15" customHeight="1" x14ac:dyDescent="0.15">
      <c r="U102" s="229"/>
    </row>
    <row r="103" spans="21:21" ht="15" customHeight="1" x14ac:dyDescent="0.15">
      <c r="U103" s="229"/>
    </row>
    <row r="104" spans="21:21" ht="15" customHeight="1" x14ac:dyDescent="0.15">
      <c r="U104" s="229"/>
    </row>
    <row r="105" spans="21:21" ht="15" customHeight="1" x14ac:dyDescent="0.15">
      <c r="U105" s="229"/>
    </row>
    <row r="106" spans="21:21" ht="15" customHeight="1" x14ac:dyDescent="0.15">
      <c r="U106" s="229"/>
    </row>
    <row r="107" spans="21:21" ht="15" customHeight="1" x14ac:dyDescent="0.15">
      <c r="U107" s="229"/>
    </row>
    <row r="108" spans="21:21" ht="15" customHeight="1" x14ac:dyDescent="0.15">
      <c r="U108" s="229"/>
    </row>
    <row r="109" spans="21:21" ht="15" customHeight="1" x14ac:dyDescent="0.15">
      <c r="U109" s="229"/>
    </row>
    <row r="110" spans="21:21" ht="15" customHeight="1" x14ac:dyDescent="0.15">
      <c r="U110" s="229"/>
    </row>
    <row r="111" spans="21:21" ht="15" customHeight="1" x14ac:dyDescent="0.15">
      <c r="U111" s="229"/>
    </row>
    <row r="112" spans="21:21" ht="15" customHeight="1" x14ac:dyDescent="0.15">
      <c r="U112" s="229"/>
    </row>
    <row r="113" spans="21:21" ht="15" customHeight="1" x14ac:dyDescent="0.15">
      <c r="U113" s="229"/>
    </row>
    <row r="114" spans="21:21" ht="15" customHeight="1" x14ac:dyDescent="0.15">
      <c r="U114" s="229"/>
    </row>
    <row r="115" spans="21:21" ht="15" customHeight="1" x14ac:dyDescent="0.15">
      <c r="U115" s="229"/>
    </row>
    <row r="116" spans="21:21" ht="15" customHeight="1" x14ac:dyDescent="0.15">
      <c r="U116" s="229"/>
    </row>
    <row r="117" spans="21:21" ht="15" customHeight="1" x14ac:dyDescent="0.15">
      <c r="U117" s="229"/>
    </row>
    <row r="118" spans="21:21" ht="15" customHeight="1" x14ac:dyDescent="0.15">
      <c r="U118" s="229"/>
    </row>
    <row r="119" spans="21:21" ht="15" customHeight="1" x14ac:dyDescent="0.15">
      <c r="U119" s="229"/>
    </row>
    <row r="120" spans="21:21" ht="15" customHeight="1" x14ac:dyDescent="0.15">
      <c r="U120" s="229"/>
    </row>
    <row r="122" spans="21:21" ht="15" customHeight="1" x14ac:dyDescent="0.15">
      <c r="U122" s="229"/>
    </row>
    <row r="123" spans="21:21" ht="15" customHeight="1" x14ac:dyDescent="0.15">
      <c r="U123" s="229"/>
    </row>
    <row r="124" spans="21:21" ht="15" customHeight="1" x14ac:dyDescent="0.15">
      <c r="U124" s="229"/>
    </row>
    <row r="125" spans="21:21" ht="15" customHeight="1" x14ac:dyDescent="0.15">
      <c r="U125" s="229"/>
    </row>
    <row r="126" spans="21:21" ht="15" customHeight="1" x14ac:dyDescent="0.15">
      <c r="U126" s="229"/>
    </row>
    <row r="127" spans="21:21" ht="15" customHeight="1" x14ac:dyDescent="0.15">
      <c r="U127" s="229"/>
    </row>
    <row r="128" spans="21:21" ht="15" customHeight="1" x14ac:dyDescent="0.15">
      <c r="U128" s="229"/>
    </row>
    <row r="129" spans="21:21" ht="15" customHeight="1" x14ac:dyDescent="0.15">
      <c r="U129" s="229"/>
    </row>
    <row r="130" spans="21:21" ht="15" customHeight="1" x14ac:dyDescent="0.15">
      <c r="U130" s="229"/>
    </row>
    <row r="131" spans="21:21" ht="15" customHeight="1" x14ac:dyDescent="0.15">
      <c r="U131" s="229"/>
    </row>
    <row r="132" spans="21:21" ht="15" customHeight="1" x14ac:dyDescent="0.15">
      <c r="U132" s="229"/>
    </row>
    <row r="133" spans="21:21" ht="15" customHeight="1" x14ac:dyDescent="0.15">
      <c r="U133" s="229"/>
    </row>
    <row r="134" spans="21:21" ht="15" customHeight="1" x14ac:dyDescent="0.15">
      <c r="U134" s="229"/>
    </row>
    <row r="135" spans="21:21" ht="15" customHeight="1" x14ac:dyDescent="0.15">
      <c r="U135" s="229"/>
    </row>
    <row r="136" spans="21:21" ht="15" customHeight="1" x14ac:dyDescent="0.15">
      <c r="U136" s="229"/>
    </row>
    <row r="137" spans="21:21" ht="15" customHeight="1" x14ac:dyDescent="0.15">
      <c r="U137" s="229"/>
    </row>
    <row r="138" spans="21:21" ht="15" customHeight="1" x14ac:dyDescent="0.15">
      <c r="U138" s="229"/>
    </row>
    <row r="139" spans="21:21" ht="15" customHeight="1" x14ac:dyDescent="0.15">
      <c r="U139" s="229"/>
    </row>
    <row r="140" spans="21:21" ht="15" customHeight="1" x14ac:dyDescent="0.15">
      <c r="U140" s="229"/>
    </row>
    <row r="141" spans="21:21" ht="15" customHeight="1" x14ac:dyDescent="0.15">
      <c r="U141" s="229"/>
    </row>
    <row r="142" spans="21:21" ht="15" customHeight="1" x14ac:dyDescent="0.15">
      <c r="U142" s="229"/>
    </row>
    <row r="143" spans="21:21" ht="15" customHeight="1" x14ac:dyDescent="0.15">
      <c r="U143" s="229"/>
    </row>
    <row r="144" spans="21:21" ht="15" customHeight="1" x14ac:dyDescent="0.15">
      <c r="U144" s="229"/>
    </row>
    <row r="145" spans="21:21" ht="15" customHeight="1" x14ac:dyDescent="0.15">
      <c r="U145" s="229"/>
    </row>
    <row r="146" spans="21:21" ht="15" customHeight="1" x14ac:dyDescent="0.15">
      <c r="U146" s="229"/>
    </row>
    <row r="147" spans="21:21" ht="15" customHeight="1" x14ac:dyDescent="0.15">
      <c r="U147" s="229"/>
    </row>
    <row r="148" spans="21:21" ht="15" customHeight="1" x14ac:dyDescent="0.15">
      <c r="U148" s="229"/>
    </row>
    <row r="149" spans="21:21" ht="15" customHeight="1" x14ac:dyDescent="0.15">
      <c r="U149" s="229"/>
    </row>
    <row r="150" spans="21:21" ht="15" customHeight="1" x14ac:dyDescent="0.15">
      <c r="U150" s="229"/>
    </row>
    <row r="151" spans="21:21" ht="15" customHeight="1" x14ac:dyDescent="0.15">
      <c r="U151" s="229"/>
    </row>
    <row r="152" spans="21:21" ht="15" customHeight="1" x14ac:dyDescent="0.15">
      <c r="U152" s="229"/>
    </row>
    <row r="153" spans="21:21" ht="15" customHeight="1" x14ac:dyDescent="0.15">
      <c r="U153" s="229"/>
    </row>
    <row r="154" spans="21:21" ht="15" customHeight="1" x14ac:dyDescent="0.15">
      <c r="U154" s="229"/>
    </row>
    <row r="155" spans="21:21" ht="15" customHeight="1" x14ac:dyDescent="0.15">
      <c r="U155" s="229"/>
    </row>
    <row r="156" spans="21:21" ht="15" customHeight="1" x14ac:dyDescent="0.15">
      <c r="U156" s="229"/>
    </row>
    <row r="157" spans="21:21" ht="15" customHeight="1" x14ac:dyDescent="0.15">
      <c r="U157" s="229"/>
    </row>
    <row r="158" spans="21:21" ht="15" customHeight="1" x14ac:dyDescent="0.15">
      <c r="U158" s="229"/>
    </row>
    <row r="159" spans="21:21" ht="15" customHeight="1" x14ac:dyDescent="0.15">
      <c r="U159" s="229"/>
    </row>
  </sheetData>
  <protectedRanges>
    <protectedRange sqref="C12:C14 O10:O11 O36:O47 D36:E46 J36:J46 O34 H30 H31:I32 O14:O32 H34:J34 I4:J7 I8:K8 J13:J32 D13:H14 D15:E32 F15:H26 I13:I30" name="Estimating" securityDescriptor="O:WDG:WDD:(A;;CC;;;S-1-5-21-1993962763-879983540-839522115-1221)"/>
    <protectedRange sqref="D2:E2 C2:C6 D8:H8 G2:H7 D4:E7 N7:O7" name="Estimating_1" securityDescriptor="O:WDG:WDD:(A;;CC;;;S-1-5-21-1993962763-879983540-839522115-1221)"/>
    <protectedRange sqref="E9" name="Estimating_1_1" securityDescriptor="O:WDG:WDD:(A;;CC;;;S-1-5-21-1993962763-879983540-839522115-1221)"/>
    <protectedRange sqref="G49:G54 C49:C53 K54:O54" name="Full" securityDescriptor="O:WDG:WDD:(A;;CC;;;S-1-5-21-1993962763-879983540-839522115-1156)"/>
    <protectedRange sqref="C54:D54" name="Full_2" securityDescriptor="O:WDG:WDD:(A;;CC;;;S-1-5-21-1993962763-879983540-839522115-1156)"/>
    <protectedRange sqref="D3:E3" name="Estimating_1_3_2" securityDescriptor="O:WDG:WDD:(A;;CC;;;S-1-5-21-1993962763-879983540-839522115-1221)"/>
  </protectedRanges>
  <mergeCells count="9">
    <mergeCell ref="P7:R7"/>
    <mergeCell ref="C35:H35"/>
    <mergeCell ref="C1:D1"/>
    <mergeCell ref="D3:E3"/>
    <mergeCell ref="H3:J3"/>
    <mergeCell ref="D5:E5"/>
    <mergeCell ref="H5:J5"/>
    <mergeCell ref="D7:E7"/>
    <mergeCell ref="H7:J7"/>
  </mergeCells>
  <conditionalFormatting sqref="C9">
    <cfRule type="expression" dxfId="95" priority="70">
      <formula>C9="CURRENCY"</formula>
    </cfRule>
    <cfRule type="containsText" dxfId="94" priority="69" operator="containsText" text="SELECT">
      <formula>NOT(ISERROR(SEARCH("SELECT",C9)))</formula>
    </cfRule>
  </conditionalFormatting>
  <conditionalFormatting sqref="C14:C32">
    <cfRule type="expression" dxfId="93" priority="12">
      <formula>$J14&gt;0</formula>
    </cfRule>
  </conditionalFormatting>
  <conditionalFormatting sqref="C36:C46">
    <cfRule type="expression" dxfId="92" priority="11">
      <formula>$D36&gt;0</formula>
    </cfRule>
  </conditionalFormatting>
  <conditionalFormatting sqref="D36:D37 D39:D46">
    <cfRule type="cellIs" dxfId="91" priority="72" operator="lessThan">
      <formula>1</formula>
    </cfRule>
  </conditionalFormatting>
  <conditionalFormatting sqref="D38">
    <cfRule type="cellIs" dxfId="90" priority="59" operator="lessThan">
      <formula>1</formula>
    </cfRule>
  </conditionalFormatting>
  <conditionalFormatting sqref="D9:E9">
    <cfRule type="cellIs" dxfId="89" priority="66" operator="greaterThan">
      <formula>0</formula>
    </cfRule>
    <cfRule type="cellIs" dxfId="88" priority="65" operator="lessThan">
      <formula>0</formula>
    </cfRule>
  </conditionalFormatting>
  <conditionalFormatting sqref="F12">
    <cfRule type="cellIs" dxfId="87" priority="83" operator="greaterThan">
      <formula>2000</formula>
    </cfRule>
    <cfRule type="expression" dxfId="86" priority="82">
      <formula>ISNUMBER(SEARCH("I-MUAP",$E$14))</formula>
    </cfRule>
    <cfRule type="expression" dxfId="85" priority="81">
      <formula>AND((ISNUMBER(SEARCH("I-MUAP",$E$14))),F12&lt;2500)</formula>
    </cfRule>
  </conditionalFormatting>
  <conditionalFormatting sqref="F12:G12">
    <cfRule type="cellIs" dxfId="84" priority="76" operator="lessThan">
      <formula>1000</formula>
    </cfRule>
  </conditionalFormatting>
  <conditionalFormatting sqref="F14:G26">
    <cfRule type="cellIs" dxfId="83" priority="3" operator="lessThan">
      <formula>1000</formula>
    </cfRule>
  </conditionalFormatting>
  <conditionalFormatting sqref="G12">
    <cfRule type="cellIs" dxfId="82" priority="77" operator="greaterThan">
      <formula>3001</formula>
    </cfRule>
  </conditionalFormatting>
  <conditionalFormatting sqref="H11">
    <cfRule type="expression" dxfId="81" priority="79">
      <formula>((G14-50)/I14)&lt;950</formula>
    </cfRule>
  </conditionalFormatting>
  <conditionalFormatting sqref="H12">
    <cfRule type="expression" dxfId="80" priority="78">
      <formula>((G14-50)/I14)&lt;950</formula>
    </cfRule>
  </conditionalFormatting>
  <conditionalFormatting sqref="H14:H26">
    <cfRule type="cellIs" dxfId="79" priority="5" operator="lessThan">
      <formula>400</formula>
    </cfRule>
  </conditionalFormatting>
  <conditionalFormatting sqref="H33">
    <cfRule type="expression" dxfId="78" priority="90">
      <formula>((#REF!-50)/#REF!)&lt;950</formula>
    </cfRule>
  </conditionalFormatting>
  <conditionalFormatting sqref="J14:J30">
    <cfRule type="cellIs" dxfId="77" priority="18" operator="greaterThan">
      <formula>0</formula>
    </cfRule>
  </conditionalFormatting>
  <conditionalFormatting sqref="J36:J46">
    <cfRule type="expression" dxfId="76" priority="51">
      <formula>D36&gt;0</formula>
    </cfRule>
  </conditionalFormatting>
  <conditionalFormatting sqref="J48:J54">
    <cfRule type="expression" dxfId="75" priority="56">
      <formula>#REF!="EURO"</formula>
    </cfRule>
  </conditionalFormatting>
  <conditionalFormatting sqref="K14:K32">
    <cfRule type="cellIs" dxfId="74" priority="1" operator="greaterThan">
      <formula>0</formula>
    </cfRule>
  </conditionalFormatting>
  <conditionalFormatting sqref="K36:K46">
    <cfRule type="cellIs" dxfId="73" priority="58" operator="greaterThan">
      <formula>0</formula>
    </cfRule>
  </conditionalFormatting>
  <conditionalFormatting sqref="K48:K54">
    <cfRule type="expression" dxfId="72" priority="52">
      <formula>$C$9="PLN"</formula>
    </cfRule>
    <cfRule type="expression" dxfId="71" priority="53">
      <formula>$C$9="CZK"</formula>
    </cfRule>
    <cfRule type="expression" dxfId="70" priority="54">
      <formula>$C$9="USD"</formula>
    </cfRule>
    <cfRule type="expression" dxfId="69" priority="55">
      <formula>$C$9="EURO"</formula>
    </cfRule>
  </conditionalFormatting>
  <conditionalFormatting sqref="L14:L32">
    <cfRule type="expression" dxfId="68" priority="16">
      <formula>$D$9&lt;0</formula>
    </cfRule>
    <cfRule type="expression" dxfId="67" priority="17">
      <formula>$D$9&gt;0</formula>
    </cfRule>
  </conditionalFormatting>
  <conditionalFormatting sqref="L36:L46">
    <cfRule type="expression" dxfId="66" priority="15">
      <formula>$D$9&gt;0</formula>
    </cfRule>
    <cfRule type="expression" dxfId="65" priority="14">
      <formula>$D$9&lt;0</formula>
    </cfRule>
  </conditionalFormatting>
  <conditionalFormatting sqref="N9 N12">
    <cfRule type="expression" dxfId="64" priority="84">
      <formula>$C$9="PLN"</formula>
    </cfRule>
    <cfRule type="expression" dxfId="63" priority="85">
      <formula>$C$9="CZK"</formula>
    </cfRule>
    <cfRule type="expression" dxfId="62" priority="86">
      <formula>$C$9="USD"</formula>
    </cfRule>
    <cfRule type="expression" dxfId="61" priority="87">
      <formula>$C$9="EURO"</formula>
    </cfRule>
  </conditionalFormatting>
  <conditionalFormatting sqref="N14:N32">
    <cfRule type="expression" dxfId="60" priority="25">
      <formula>$C$9="EURO"</formula>
    </cfRule>
    <cfRule type="expression" dxfId="59" priority="24">
      <formula>$C$9="USD"</formula>
    </cfRule>
    <cfRule type="expression" dxfId="58" priority="23">
      <formula>$C$9="CZK"</formula>
    </cfRule>
    <cfRule type="expression" dxfId="57" priority="22">
      <formula>$C$9="PLN"</formula>
    </cfRule>
  </conditionalFormatting>
  <conditionalFormatting sqref="N18:N20">
    <cfRule type="cellIs" dxfId="56" priority="33" operator="greaterThan">
      <formula>0</formula>
    </cfRule>
  </conditionalFormatting>
  <conditionalFormatting sqref="N35:N46">
    <cfRule type="expression" dxfId="55" priority="10">
      <formula>$C$9="EURO"</formula>
    </cfRule>
    <cfRule type="expression" dxfId="54" priority="9">
      <formula>$C$9="USD"</formula>
    </cfRule>
    <cfRule type="expression" dxfId="53" priority="8">
      <formula>$C$9="CZK"</formula>
    </cfRule>
    <cfRule type="expression" dxfId="52" priority="7">
      <formula>$C$9="PLN"</formula>
    </cfRule>
  </conditionalFormatting>
  <conditionalFormatting sqref="N14:O32">
    <cfRule type="cellIs" dxfId="51" priority="21" operator="greaterThan">
      <formula>0</formula>
    </cfRule>
  </conditionalFormatting>
  <conditionalFormatting sqref="N36:O46">
    <cfRule type="cellIs" dxfId="50" priority="6" operator="greaterThan">
      <formula>0</formula>
    </cfRule>
  </conditionalFormatting>
  <conditionalFormatting sqref="O14:O20">
    <cfRule type="cellIs" dxfId="49" priority="38" operator="greaterThan">
      <formula>0</formula>
    </cfRule>
  </conditionalFormatting>
  <dataValidations count="3">
    <dataValidation type="list" allowBlank="1" showInputMessage="1" showErrorMessage="1" sqref="H34" xr:uid="{00000000-0002-0000-1000-000000000000}">
      <formula1>#REF!</formula1>
    </dataValidation>
    <dataValidation operator="greaterThan" allowBlank="1" showInputMessage="1" showErrorMessage="1" sqref="F14:F26" xr:uid="{00000000-0002-0000-1000-000001000000}"/>
    <dataValidation type="list" allowBlank="1" showInputMessage="1" showErrorMessage="1" sqref="E14:E32" xr:uid="{00000000-0002-0000-1000-000002000000}">
      <formula1>"0,1,2,3,4,5,6,7,8,9,10,11,12,13,14,15,16,17,18,19,20"</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3000000}">
          <x14:formula1>
            <xm:f>'Base Costs'!$A$4:$A$16</xm:f>
          </x14:formula1>
          <xm:sqref>E37:E38</xm:sqref>
        </x14:dataValidation>
        <x14:dataValidation type="list" allowBlank="1" showInputMessage="1" showErrorMessage="1" xr:uid="{00000000-0002-0000-1000-000004000000}">
          <x14:formula1>
            <xm:f>'Base Costs'!$E$4:$E$213</xm:f>
          </x14:formula1>
          <xm:sqref>E36</xm:sqref>
        </x14:dataValidation>
        <x14:dataValidation type="list" allowBlank="1" showInputMessage="1" showErrorMessage="1" xr:uid="{00000000-0002-0000-1000-000005000000}">
          <x14:formula1>
            <xm:f>'Base Costs'!$A$32:$A$37</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F43"/>
  <sheetViews>
    <sheetView topLeftCell="A16" workbookViewId="0">
      <selection activeCell="D4" sqref="D4"/>
    </sheetView>
  </sheetViews>
  <sheetFormatPr baseColWidth="10" defaultColWidth="8.83203125" defaultRowHeight="13" x14ac:dyDescent="0.15"/>
  <cols>
    <col min="2" max="2" width="8.83203125" style="610"/>
    <col min="3" max="3" width="61.33203125" style="610" bestFit="1" customWidth="1"/>
    <col min="4" max="4" width="12.33203125" style="610" bestFit="1" customWidth="1"/>
  </cols>
  <sheetData>
    <row r="2" spans="1:6" s="604" customFormat="1" x14ac:dyDescent="0.15">
      <c r="A2" s="1086" t="s">
        <v>733</v>
      </c>
      <c r="B2" s="603" t="s">
        <v>734</v>
      </c>
      <c r="C2" s="603" t="s">
        <v>735</v>
      </c>
      <c r="D2" s="603" t="s">
        <v>736</v>
      </c>
      <c r="F2" s="604">
        <v>20</v>
      </c>
    </row>
    <row r="3" spans="1:6" ht="13.25" customHeight="1" x14ac:dyDescent="0.15">
      <c r="A3" s="1086"/>
      <c r="B3" s="605">
        <v>1.01</v>
      </c>
      <c r="C3" s="605" t="s">
        <v>737</v>
      </c>
      <c r="D3" s="606">
        <f>CANOPY!N12</f>
        <v>516.51759834368534</v>
      </c>
    </row>
    <row r="4" spans="1:6" x14ac:dyDescent="0.15">
      <c r="A4" s="1086"/>
      <c r="B4" s="605">
        <v>1.02</v>
      </c>
      <c r="C4" s="605" t="s">
        <v>737</v>
      </c>
      <c r="D4" s="606"/>
    </row>
    <row r="5" spans="1:6" x14ac:dyDescent="0.15">
      <c r="A5" s="1086"/>
      <c r="B5" s="605">
        <v>1.03</v>
      </c>
      <c r="C5" s="605" t="s">
        <v>737</v>
      </c>
      <c r="D5" s="606"/>
    </row>
    <row r="6" spans="1:6" x14ac:dyDescent="0.15">
      <c r="A6" s="1086"/>
      <c r="B6" s="605">
        <v>1.04</v>
      </c>
      <c r="C6" s="605" t="s">
        <v>738</v>
      </c>
      <c r="D6" s="606"/>
    </row>
    <row r="7" spans="1:6" x14ac:dyDescent="0.15">
      <c r="A7" s="1086"/>
      <c r="B7" s="605">
        <v>1.05</v>
      </c>
      <c r="C7" s="605" t="s">
        <v>739</v>
      </c>
      <c r="D7" s="606"/>
    </row>
    <row r="8" spans="1:6" x14ac:dyDescent="0.15">
      <c r="A8" s="1086"/>
      <c r="B8" s="605">
        <v>1.06</v>
      </c>
      <c r="C8" s="605" t="s">
        <v>740</v>
      </c>
      <c r="D8" s="606"/>
    </row>
    <row r="9" spans="1:6" x14ac:dyDescent="0.15">
      <c r="A9" s="1086"/>
      <c r="B9" s="607"/>
      <c r="C9" s="608" t="s">
        <v>144</v>
      </c>
      <c r="D9" s="606">
        <f>SUM(D3:D8)</f>
        <v>516.51759834368534</v>
      </c>
    </row>
    <row r="10" spans="1:6" x14ac:dyDescent="0.15">
      <c r="A10" s="609"/>
      <c r="C10" s="611"/>
      <c r="D10" s="612"/>
    </row>
    <row r="11" spans="1:6" s="604" customFormat="1" x14ac:dyDescent="0.15">
      <c r="A11" s="1086" t="s">
        <v>741</v>
      </c>
      <c r="B11" s="603" t="s">
        <v>734</v>
      </c>
      <c r="C11" s="603" t="s">
        <v>735</v>
      </c>
      <c r="D11" s="603" t="s">
        <v>736</v>
      </c>
      <c r="F11" s="604">
        <v>5</v>
      </c>
    </row>
    <row r="12" spans="1:6" ht="13.25" customHeight="1" x14ac:dyDescent="0.15">
      <c r="A12" s="1086"/>
      <c r="B12" s="605">
        <v>2.0099999999999998</v>
      </c>
      <c r="C12" s="605" t="s">
        <v>742</v>
      </c>
      <c r="D12" s="606"/>
    </row>
    <row r="13" spans="1:6" x14ac:dyDescent="0.15">
      <c r="A13" s="1086"/>
      <c r="B13" s="605">
        <v>2.02</v>
      </c>
      <c r="C13" s="605"/>
      <c r="D13" s="606"/>
    </row>
    <row r="14" spans="1:6" x14ac:dyDescent="0.15">
      <c r="A14" s="1086"/>
      <c r="B14" s="605">
        <v>2.0299999999999998</v>
      </c>
      <c r="C14" s="605"/>
      <c r="D14" s="606"/>
    </row>
    <row r="15" spans="1:6" x14ac:dyDescent="0.15">
      <c r="A15" s="1086"/>
      <c r="B15" s="607"/>
      <c r="C15" s="608" t="s">
        <v>144</v>
      </c>
      <c r="D15" s="606">
        <f>SUM(D12:D14)</f>
        <v>0</v>
      </c>
    </row>
    <row r="16" spans="1:6" x14ac:dyDescent="0.15">
      <c r="A16" s="609"/>
      <c r="C16" s="611"/>
      <c r="D16" s="612"/>
    </row>
    <row r="17" spans="1:6" s="604" customFormat="1" x14ac:dyDescent="0.15">
      <c r="A17" s="1086" t="s">
        <v>743</v>
      </c>
      <c r="B17" s="603" t="s">
        <v>734</v>
      </c>
      <c r="C17" s="603" t="s">
        <v>735</v>
      </c>
      <c r="D17" s="603" t="s">
        <v>736</v>
      </c>
      <c r="F17" s="604">
        <v>5</v>
      </c>
    </row>
    <row r="18" spans="1:6" ht="13.25" customHeight="1" x14ac:dyDescent="0.15">
      <c r="A18" s="1086"/>
      <c r="B18" s="605">
        <v>3.01</v>
      </c>
      <c r="C18" s="605" t="s">
        <v>744</v>
      </c>
      <c r="D18" s="606"/>
    </row>
    <row r="19" spans="1:6" x14ac:dyDescent="0.15">
      <c r="A19" s="1086"/>
      <c r="B19" s="605">
        <v>3.02</v>
      </c>
      <c r="C19" s="605" t="s">
        <v>744</v>
      </c>
      <c r="D19" s="606"/>
    </row>
    <row r="20" spans="1:6" x14ac:dyDescent="0.15">
      <c r="A20" s="1086"/>
      <c r="B20" s="605">
        <v>3.03</v>
      </c>
      <c r="C20" s="605" t="s">
        <v>744</v>
      </c>
      <c r="D20" s="606"/>
    </row>
    <row r="21" spans="1:6" x14ac:dyDescent="0.15">
      <c r="A21" s="1086"/>
      <c r="B21" s="605">
        <v>3.04</v>
      </c>
      <c r="C21" s="605" t="s">
        <v>745</v>
      </c>
      <c r="D21" s="606"/>
    </row>
    <row r="22" spans="1:6" x14ac:dyDescent="0.15">
      <c r="A22" s="1086"/>
      <c r="B22" s="607"/>
      <c r="C22" s="608" t="s">
        <v>144</v>
      </c>
      <c r="D22" s="606">
        <f>SUM(D18:D21)</f>
        <v>0</v>
      </c>
    </row>
    <row r="23" spans="1:6" x14ac:dyDescent="0.15">
      <c r="A23" s="609"/>
      <c r="C23" s="611"/>
      <c r="D23" s="612"/>
    </row>
    <row r="24" spans="1:6" s="604" customFormat="1" x14ac:dyDescent="0.15">
      <c r="A24" s="1086" t="s">
        <v>746</v>
      </c>
      <c r="B24" s="603" t="s">
        <v>734</v>
      </c>
      <c r="C24" s="603" t="s">
        <v>735</v>
      </c>
      <c r="D24" s="603" t="s">
        <v>736</v>
      </c>
      <c r="F24" s="604">
        <v>5</v>
      </c>
    </row>
    <row r="25" spans="1:6" ht="13.25" customHeight="1" x14ac:dyDescent="0.15">
      <c r="A25" s="1086"/>
      <c r="B25" s="605">
        <v>4.01</v>
      </c>
      <c r="C25" s="605" t="s">
        <v>747</v>
      </c>
      <c r="D25" s="606"/>
    </row>
    <row r="26" spans="1:6" x14ac:dyDescent="0.15">
      <c r="A26" s="1086"/>
      <c r="B26" s="605">
        <v>4.0199999999999996</v>
      </c>
      <c r="C26" s="605" t="s">
        <v>747</v>
      </c>
      <c r="D26" s="606"/>
    </row>
    <row r="27" spans="1:6" x14ac:dyDescent="0.15">
      <c r="A27" s="1086"/>
      <c r="B27" s="605">
        <v>4.03</v>
      </c>
      <c r="C27" s="605" t="s">
        <v>748</v>
      </c>
      <c r="D27" s="606"/>
    </row>
    <row r="28" spans="1:6" x14ac:dyDescent="0.15">
      <c r="A28" s="1086"/>
      <c r="B28" s="605">
        <v>4.04</v>
      </c>
      <c r="C28" s="605" t="s">
        <v>749</v>
      </c>
      <c r="D28" s="606"/>
    </row>
    <row r="29" spans="1:6" x14ac:dyDescent="0.15">
      <c r="A29" s="1086"/>
      <c r="B29" s="607"/>
      <c r="C29" s="608" t="s">
        <v>144</v>
      </c>
      <c r="D29" s="606">
        <f>SUM(D25:D28)</f>
        <v>0</v>
      </c>
    </row>
    <row r="30" spans="1:6" x14ac:dyDescent="0.15">
      <c r="A30" s="609"/>
      <c r="C30" s="611"/>
      <c r="D30" s="612"/>
    </row>
    <row r="31" spans="1:6" s="604" customFormat="1" x14ac:dyDescent="0.15">
      <c r="A31" s="1086" t="s">
        <v>750</v>
      </c>
      <c r="B31" s="603" t="s">
        <v>734</v>
      </c>
      <c r="C31" s="603" t="s">
        <v>735</v>
      </c>
      <c r="D31" s="603" t="s">
        <v>736</v>
      </c>
    </row>
    <row r="32" spans="1:6" ht="13.25" customHeight="1" x14ac:dyDescent="0.15">
      <c r="A32" s="1086"/>
      <c r="B32" s="605">
        <v>5.01</v>
      </c>
      <c r="C32" s="605" t="s">
        <v>751</v>
      </c>
      <c r="D32" s="606"/>
    </row>
    <row r="33" spans="1:4" x14ac:dyDescent="0.15">
      <c r="A33" s="1086"/>
      <c r="B33" s="605">
        <v>5.0199999999999996</v>
      </c>
      <c r="C33" s="605" t="s">
        <v>752</v>
      </c>
      <c r="D33" s="606"/>
    </row>
    <row r="34" spans="1:4" x14ac:dyDescent="0.15">
      <c r="A34" s="1086"/>
      <c r="B34" s="605">
        <v>5.03</v>
      </c>
      <c r="C34" s="605" t="s">
        <v>753</v>
      </c>
      <c r="D34" s="606"/>
    </row>
    <row r="35" spans="1:4" x14ac:dyDescent="0.15">
      <c r="A35" s="1086"/>
      <c r="B35" s="607"/>
      <c r="C35" s="608" t="s">
        <v>144</v>
      </c>
      <c r="D35" s="606">
        <f>SUM(D32:D34)</f>
        <v>0</v>
      </c>
    </row>
    <row r="36" spans="1:4" x14ac:dyDescent="0.15">
      <c r="A36" s="609"/>
      <c r="C36" s="611"/>
      <c r="D36" s="612"/>
    </row>
    <row r="37" spans="1:4" s="604" customFormat="1" x14ac:dyDescent="0.15">
      <c r="A37" s="1086" t="s">
        <v>754</v>
      </c>
      <c r="B37" s="603" t="s">
        <v>734</v>
      </c>
      <c r="C37" s="603" t="s">
        <v>735</v>
      </c>
      <c r="D37" s="603" t="s">
        <v>736</v>
      </c>
    </row>
    <row r="38" spans="1:4" ht="13.25" customHeight="1" x14ac:dyDescent="0.15">
      <c r="A38" s="1086"/>
      <c r="B38" s="605">
        <v>6.01</v>
      </c>
      <c r="C38" s="605" t="s">
        <v>755</v>
      </c>
      <c r="D38" s="606"/>
    </row>
    <row r="39" spans="1:4" x14ac:dyDescent="0.15">
      <c r="A39" s="1086"/>
      <c r="B39" s="605">
        <v>6.02</v>
      </c>
      <c r="C39" s="605" t="s">
        <v>752</v>
      </c>
      <c r="D39" s="606"/>
    </row>
    <row r="40" spans="1:4" x14ac:dyDescent="0.15">
      <c r="A40" s="1086"/>
      <c r="B40" s="605">
        <v>6.03</v>
      </c>
      <c r="C40" s="605" t="s">
        <v>740</v>
      </c>
      <c r="D40" s="606"/>
    </row>
    <row r="41" spans="1:4" x14ac:dyDescent="0.15">
      <c r="A41" s="1086"/>
      <c r="B41" s="607"/>
      <c r="C41" s="608" t="s">
        <v>144</v>
      </c>
      <c r="D41" s="606">
        <f>SUM(D38:D40)</f>
        <v>0</v>
      </c>
    </row>
    <row r="42" spans="1:4" x14ac:dyDescent="0.15">
      <c r="D42" s="612"/>
    </row>
    <row r="43" spans="1:4" ht="14" x14ac:dyDescent="0.15">
      <c r="A43" s="613"/>
      <c r="B43" s="1084" t="s">
        <v>756</v>
      </c>
      <c r="C43" s="1085"/>
      <c r="D43" s="614">
        <f>SUM(D41+D35+D29+D22+D15+D9)</f>
        <v>516.51759834368534</v>
      </c>
    </row>
  </sheetData>
  <mergeCells count="7">
    <mergeCell ref="B43:C43"/>
    <mergeCell ref="A2:A9"/>
    <mergeCell ref="A11:A15"/>
    <mergeCell ref="A17:A22"/>
    <mergeCell ref="A24:A29"/>
    <mergeCell ref="A31:A35"/>
    <mergeCell ref="A37:A4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
    <tabColor theme="8" tint="0.79998168889431442"/>
    <pageSetUpPr fitToPage="1"/>
  </sheetPr>
  <dimension ref="A1:AE159"/>
  <sheetViews>
    <sheetView showGridLines="0" zoomScale="80" zoomScaleNormal="80" zoomScaleSheetLayoutView="50" workbookViewId="0">
      <selection activeCell="P1" sqref="P1"/>
    </sheetView>
  </sheetViews>
  <sheetFormatPr baseColWidth="10" defaultColWidth="8.83203125" defaultRowHeight="15" customHeight="1" x14ac:dyDescent="0.15"/>
  <cols>
    <col min="1" max="3" width="2" style="215" customWidth="1"/>
    <col min="4" max="4" width="32.33203125" style="217" customWidth="1"/>
    <col min="5" max="5" width="39.83203125" style="217" customWidth="1"/>
    <col min="6" max="6" width="27.1640625" style="217" customWidth="1"/>
    <col min="7" max="7" width="26.6640625" style="217" customWidth="1"/>
    <col min="8" max="8" width="18.83203125" style="217" customWidth="1"/>
    <col min="9" max="9" width="25" style="217" bestFit="1" customWidth="1"/>
    <col min="10" max="10" width="10" style="233" bestFit="1" customWidth="1"/>
    <col min="11" max="11" width="14.83203125" style="348" bestFit="1" customWidth="1"/>
    <col min="12" max="12" width="17.5" style="228" customWidth="1"/>
    <col min="13" max="13" width="6.6640625" style="228" customWidth="1"/>
    <col min="14" max="14" width="15.5" style="346" hidden="1" customWidth="1"/>
    <col min="15" max="15" width="14.5" style="348" bestFit="1" customWidth="1"/>
    <col min="16" max="16" width="13.6640625" style="14" bestFit="1" customWidth="1"/>
    <col min="17" max="18" width="8.83203125" style="217" customWidth="1"/>
    <col min="19" max="19" width="18.6640625" style="217" customWidth="1"/>
    <col min="20" max="27" width="8.83203125" style="217" customWidth="1"/>
    <col min="28" max="28" width="8.83203125" style="219" customWidth="1"/>
    <col min="29" max="30" width="8.83203125" style="217" customWidth="1"/>
    <col min="31" max="31" width="8.83203125" style="220" customWidth="1"/>
    <col min="32" max="100" width="8.83203125" style="217" customWidth="1"/>
    <col min="101" max="16384" width="8.83203125" style="217"/>
  </cols>
  <sheetData>
    <row r="1" spans="1:29" ht="15" customHeight="1" x14ac:dyDescent="0.15">
      <c r="D1" s="1165" t="s">
        <v>1058</v>
      </c>
      <c r="E1" s="1165"/>
      <c r="F1" s="216"/>
      <c r="G1" s="216"/>
      <c r="H1" s="216"/>
      <c r="I1" s="216"/>
      <c r="J1" s="29"/>
      <c r="K1" s="336"/>
      <c r="L1" s="337"/>
      <c r="M1" s="338"/>
      <c r="N1" s="339"/>
      <c r="O1" s="336"/>
      <c r="P1" s="585">
        <v>44409</v>
      </c>
      <c r="T1" s="80"/>
      <c r="U1" s="218"/>
    </row>
    <row r="2" spans="1:29" ht="15" customHeight="1" x14ac:dyDescent="0.15">
      <c r="D2" s="79"/>
      <c r="E2" s="221"/>
      <c r="F2" s="221"/>
      <c r="H2" s="79"/>
      <c r="I2" s="77"/>
      <c r="J2" s="222"/>
      <c r="K2" s="340"/>
      <c r="L2" s="341"/>
      <c r="M2" s="342"/>
      <c r="N2" s="343"/>
      <c r="O2" s="344"/>
      <c r="U2" s="225"/>
      <c r="Z2" s="226"/>
    </row>
    <row r="3" spans="1:29" ht="15" customHeight="1" x14ac:dyDescent="0.15">
      <c r="D3" s="78" t="s">
        <v>728</v>
      </c>
      <c r="E3" s="1155" t="str">
        <f>IF(CANOPY!C3="","",CANOPY!C3)</f>
        <v/>
      </c>
      <c r="F3" s="1155"/>
      <c r="H3" s="76" t="s">
        <v>75</v>
      </c>
      <c r="I3" s="1081" t="str">
        <f>IF(CANOPY!G3="","",CANOPY!G3)</f>
        <v/>
      </c>
      <c r="J3" s="1081"/>
      <c r="K3" s="1081"/>
      <c r="M3" s="342"/>
      <c r="N3" s="343"/>
      <c r="O3" s="344"/>
      <c r="U3" s="225"/>
    </row>
    <row r="4" spans="1:29" ht="15" customHeight="1" x14ac:dyDescent="0.15">
      <c r="D4" s="79"/>
      <c r="E4" s="223"/>
      <c r="F4" s="223"/>
      <c r="H4" s="77"/>
      <c r="I4" s="222"/>
      <c r="J4" s="227"/>
      <c r="K4" s="341"/>
      <c r="M4" s="342"/>
      <c r="N4" s="343"/>
      <c r="O4" s="344"/>
      <c r="U4" s="225"/>
    </row>
    <row r="5" spans="1:29" ht="15" customHeight="1" x14ac:dyDescent="0.15">
      <c r="D5" s="78" t="s">
        <v>72</v>
      </c>
      <c r="E5" s="1080" t="str">
        <f>IF(CANOPY!C5="","",CANOPY!C5)</f>
        <v/>
      </c>
      <c r="F5" s="1080"/>
      <c r="H5" s="76" t="s">
        <v>74</v>
      </c>
      <c r="I5" s="1081" t="str">
        <f>IF(CANOPY!G5="","",CANOPY!G5)</f>
        <v/>
      </c>
      <c r="J5" s="1081"/>
      <c r="K5" s="1081"/>
      <c r="N5" s="343"/>
      <c r="O5" s="344"/>
      <c r="R5" s="229"/>
      <c r="S5" s="229"/>
      <c r="U5" s="225"/>
      <c r="V5" s="226"/>
    </row>
    <row r="6" spans="1:29" ht="15" customHeight="1" x14ac:dyDescent="0.15">
      <c r="D6" s="78"/>
      <c r="E6" s="230"/>
      <c r="F6" s="230"/>
      <c r="H6" s="76"/>
      <c r="I6" s="222"/>
      <c r="J6" s="79"/>
      <c r="K6" s="345"/>
      <c r="M6" s="342"/>
      <c r="N6" s="343"/>
      <c r="O6" s="344"/>
      <c r="R6" s="229"/>
      <c r="S6" s="229"/>
      <c r="U6" s="225"/>
      <c r="V6" s="226"/>
      <c r="AB6" s="231"/>
    </row>
    <row r="7" spans="1:29" ht="15" customHeight="1" x14ac:dyDescent="0.15">
      <c r="D7" s="80" t="s">
        <v>729</v>
      </c>
      <c r="E7" s="1184"/>
      <c r="F7" s="1184"/>
      <c r="H7" s="76" t="s">
        <v>73</v>
      </c>
      <c r="I7" s="1083" t="str">
        <f>IF(CANOPY!G7="","",CANOPY!G7)</f>
        <v/>
      </c>
      <c r="J7" s="1083"/>
      <c r="K7" s="1083"/>
      <c r="O7" s="347" t="s">
        <v>76</v>
      </c>
      <c r="P7" s="589"/>
      <c r="Q7" s="232"/>
      <c r="S7" s="224"/>
      <c r="U7" s="225"/>
      <c r="V7" s="226"/>
      <c r="AB7" s="231"/>
    </row>
    <row r="8" spans="1:29" ht="15" customHeight="1" x14ac:dyDescent="0.15">
      <c r="F8" s="219"/>
      <c r="G8" s="219"/>
      <c r="I8" s="219"/>
      <c r="K8" s="346"/>
      <c r="L8" s="14"/>
      <c r="U8" s="225"/>
      <c r="AB8" s="231"/>
    </row>
    <row r="9" spans="1:29" s="80" customFormat="1" ht="15" customHeight="1" x14ac:dyDescent="0.15">
      <c r="A9" s="215"/>
      <c r="B9" s="215"/>
      <c r="C9" s="215"/>
      <c r="D9" s="38" t="s">
        <v>348</v>
      </c>
      <c r="E9" s="373">
        <v>0.03</v>
      </c>
      <c r="F9" s="377" t="e">
        <f>IF(E9=0,0,(SUBTOTAL(9,N14:N46)/(1-E9))-N9)</f>
        <v>#N/A</v>
      </c>
      <c r="J9" s="234"/>
      <c r="L9" s="25" t="e">
        <f>SUBTOTAL(9,L12:L46)</f>
        <v>#N/A</v>
      </c>
      <c r="M9" s="15" t="e">
        <f>IF(P9=0,"-",P9/N9)</f>
        <v>#N/A</v>
      </c>
      <c r="N9" s="25" t="e">
        <f>SUBTOTAL(9,N12:N46)</f>
        <v>#N/A</v>
      </c>
      <c r="O9" s="464" t="e">
        <f>SUBTOTAL(9,O12:O46)</f>
        <v>#N/A</v>
      </c>
      <c r="P9" s="25" t="e">
        <f>SUBTOTAL(9,P12:P46)</f>
        <v>#N/A</v>
      </c>
      <c r="Q9" s="217"/>
      <c r="R9" s="217"/>
      <c r="S9" s="217"/>
      <c r="T9" s="217"/>
      <c r="U9" s="217"/>
      <c r="V9" s="217"/>
      <c r="W9" s="217"/>
      <c r="AA9" s="217"/>
      <c r="AB9" s="217"/>
      <c r="AC9" s="217"/>
    </row>
    <row r="10" spans="1:29" s="80" customFormat="1" ht="15" customHeight="1" x14ac:dyDescent="0.15">
      <c r="A10" s="215"/>
      <c r="B10" s="215"/>
      <c r="C10" s="215"/>
      <c r="D10" s="6" t="s">
        <v>348</v>
      </c>
      <c r="E10" s="6" t="s">
        <v>537</v>
      </c>
      <c r="F10" s="6" t="s">
        <v>536</v>
      </c>
      <c r="G10" s="6"/>
      <c r="H10" s="6"/>
      <c r="I10" s="6"/>
      <c r="J10" s="6"/>
      <c r="K10" s="1" t="s">
        <v>204</v>
      </c>
      <c r="L10" s="2" t="s">
        <v>34</v>
      </c>
      <c r="M10" s="3" t="s">
        <v>141</v>
      </c>
      <c r="N10" s="4" t="s">
        <v>127</v>
      </c>
      <c r="O10" s="1" t="s">
        <v>205</v>
      </c>
      <c r="P10" s="5" t="s">
        <v>206</v>
      </c>
      <c r="Q10" s="217"/>
      <c r="R10" s="217"/>
      <c r="S10" s="217"/>
      <c r="T10" s="217"/>
      <c r="U10" s="217"/>
      <c r="V10" s="235"/>
      <c r="W10" s="217"/>
      <c r="AA10" s="217"/>
      <c r="AB10" s="217"/>
      <c r="AC10" s="217"/>
    </row>
    <row r="11" spans="1:29" s="80" customFormat="1" ht="15" customHeight="1" x14ac:dyDescent="0.15">
      <c r="A11" s="215"/>
      <c r="B11" s="215"/>
      <c r="C11" s="215"/>
      <c r="D11" s="9"/>
      <c r="E11" s="9"/>
      <c r="F11" s="9"/>
      <c r="G11" s="9"/>
      <c r="H11" s="9"/>
      <c r="I11" s="34" t="s">
        <v>347</v>
      </c>
      <c r="J11" s="9"/>
      <c r="K11" s="11"/>
      <c r="L11" s="8"/>
      <c r="M11" s="12"/>
      <c r="N11" s="13"/>
      <c r="O11" s="11"/>
      <c r="P11" s="14"/>
      <c r="Q11" s="217"/>
      <c r="R11" s="217"/>
      <c r="S11" s="217"/>
      <c r="T11" s="217"/>
      <c r="U11" s="217"/>
      <c r="V11" s="235"/>
      <c r="W11" s="217"/>
      <c r="AA11" s="217"/>
      <c r="AB11" s="217"/>
      <c r="AC11" s="217"/>
    </row>
    <row r="12" spans="1:29" s="80" customFormat="1" ht="15" customHeight="1" x14ac:dyDescent="0.15">
      <c r="A12" s="215"/>
      <c r="B12" s="215"/>
      <c r="C12" s="215"/>
      <c r="D12" s="241" t="s">
        <v>604</v>
      </c>
      <c r="E12" s="236"/>
      <c r="F12" s="237">
        <f>F14</f>
        <v>0</v>
      </c>
      <c r="G12" s="845">
        <v>0</v>
      </c>
      <c r="H12" s="845">
        <f>IF(J12&lt;1,0,CEILING((H14-100)/J14,250))</f>
        <v>0</v>
      </c>
      <c r="I12" s="237" t="str">
        <f>F12&amp;H12&amp;G12</f>
        <v>000</v>
      </c>
      <c r="J12" s="236">
        <f>IF(G14=0,0,IF(H14=0,0,(G14/(IF(E14="WALL",G14,(G14/2)))*J14)))</f>
        <v>0</v>
      </c>
      <c r="K12" s="238"/>
      <c r="L12" s="154">
        <f>SUBTOTAL(9,L14:L32)</f>
        <v>0</v>
      </c>
      <c r="M12" s="15" t="str">
        <f>IF(L14=0,"-",P12/N12)</f>
        <v>-</v>
      </c>
      <c r="N12" s="154">
        <f>SUBTOTAL(9,N14:N30)</f>
        <v>0</v>
      </c>
      <c r="O12" s="464">
        <f>SUBTOTAL(9,O14:O32)</f>
        <v>0</v>
      </c>
      <c r="P12" s="154">
        <f>SUBTOTAL(9,P14:P32)</f>
        <v>0</v>
      </c>
      <c r="Q12" s="217"/>
      <c r="R12" s="217"/>
      <c r="S12" s="217"/>
      <c r="T12" s="217"/>
      <c r="U12" s="217"/>
      <c r="V12" s="235"/>
      <c r="W12" s="217"/>
      <c r="AA12" s="217"/>
      <c r="AB12" s="217"/>
      <c r="AC12" s="217"/>
    </row>
    <row r="13" spans="1:29" ht="15" customHeight="1" x14ac:dyDescent="0.15">
      <c r="D13" s="7"/>
      <c r="E13" s="10" t="s">
        <v>198</v>
      </c>
      <c r="F13" s="27" t="s">
        <v>972</v>
      </c>
      <c r="G13" s="10" t="s">
        <v>128</v>
      </c>
      <c r="H13" s="10" t="s">
        <v>129</v>
      </c>
      <c r="I13" s="10" t="s">
        <v>172</v>
      </c>
      <c r="J13" s="10" t="s">
        <v>197</v>
      </c>
      <c r="K13" s="349"/>
      <c r="L13" s="350"/>
      <c r="M13" s="350"/>
      <c r="N13" s="351"/>
      <c r="O13" s="352"/>
      <c r="P13" s="5"/>
      <c r="V13" s="229"/>
      <c r="AB13" s="217"/>
    </row>
    <row r="14" spans="1:29" ht="15" customHeight="1" x14ac:dyDescent="0.2">
      <c r="A14" s="215">
        <v>210</v>
      </c>
      <c r="D14" s="269" t="s">
        <v>1009</v>
      </c>
      <c r="E14" s="460" t="s">
        <v>964</v>
      </c>
      <c r="F14" s="448">
        <v>0</v>
      </c>
      <c r="G14" s="879">
        <v>350</v>
      </c>
      <c r="H14" s="842">
        <v>1400</v>
      </c>
      <c r="I14" s="881">
        <v>350</v>
      </c>
      <c r="J14" s="31"/>
      <c r="K14" s="380">
        <v>1357</v>
      </c>
      <c r="L14" s="378">
        <f>SUM(K14*F14)</f>
        <v>0</v>
      </c>
      <c r="M14" s="392">
        <v>0.435</v>
      </c>
      <c r="N14" s="311">
        <f t="shared" ref="N14:N29" si="0">(L14/(1-M14))*(1+$E$9)</f>
        <v>0</v>
      </c>
      <c r="O14" s="378">
        <f>(N14*VLOOKUP($D$9,'Base Costs'!$A$32:$B$37,2,FALSE))</f>
        <v>0</v>
      </c>
      <c r="P14" s="379">
        <f t="shared" ref="P14:P29" si="1">N14-L14</f>
        <v>0</v>
      </c>
      <c r="V14" s="229"/>
      <c r="AB14" s="217"/>
    </row>
    <row r="15" spans="1:29" ht="15" customHeight="1" x14ac:dyDescent="0.2">
      <c r="A15" s="215">
        <v>104</v>
      </c>
      <c r="D15" s="269" t="s">
        <v>1010</v>
      </c>
      <c r="E15" s="460" t="s">
        <v>951</v>
      </c>
      <c r="F15" s="448">
        <v>0</v>
      </c>
      <c r="G15" s="879">
        <v>500</v>
      </c>
      <c r="H15" s="842">
        <v>1400</v>
      </c>
      <c r="I15" s="843">
        <v>500</v>
      </c>
      <c r="J15" s="31"/>
      <c r="K15" s="380">
        <v>2006</v>
      </c>
      <c r="L15" s="378">
        <f t="shared" ref="L15:L32" si="2">SUM(K15*F15)</f>
        <v>0</v>
      </c>
      <c r="M15" s="392">
        <v>0.435</v>
      </c>
      <c r="N15" s="311">
        <f t="shared" si="0"/>
        <v>0</v>
      </c>
      <c r="O15" s="378">
        <f>(N15*VLOOKUP($D$9,'Base Costs'!$A$32:$B$37,2,FALSE))</f>
        <v>0</v>
      </c>
      <c r="P15" s="379">
        <f t="shared" si="1"/>
        <v>0</v>
      </c>
      <c r="V15" s="229"/>
      <c r="AB15" s="217"/>
    </row>
    <row r="16" spans="1:29" ht="15" customHeight="1" x14ac:dyDescent="0.2">
      <c r="A16" s="215">
        <v>234</v>
      </c>
      <c r="D16" s="269" t="s">
        <v>1011</v>
      </c>
      <c r="E16" s="460" t="s">
        <v>1017</v>
      </c>
      <c r="F16" s="461">
        <v>0</v>
      </c>
      <c r="G16" s="879">
        <v>600</v>
      </c>
      <c r="H16" s="842">
        <v>1400</v>
      </c>
      <c r="I16" s="843">
        <v>600</v>
      </c>
      <c r="J16" s="31"/>
      <c r="K16" s="380">
        <v>2610</v>
      </c>
      <c r="L16" s="378">
        <f t="shared" si="2"/>
        <v>0</v>
      </c>
      <c r="M16" s="392">
        <v>0.2</v>
      </c>
      <c r="N16" s="311">
        <f t="shared" si="0"/>
        <v>0</v>
      </c>
      <c r="O16" s="378">
        <f>(N16*VLOOKUP($D$9,'Base Costs'!$A$32:$B$37,2,FALSE))</f>
        <v>0</v>
      </c>
      <c r="P16" s="379">
        <f t="shared" si="1"/>
        <v>0</v>
      </c>
      <c r="V16" s="229"/>
      <c r="AB16" s="217"/>
    </row>
    <row r="17" spans="1:28" ht="15" customHeight="1" x14ac:dyDescent="0.2">
      <c r="D17" s="269" t="s">
        <v>1012</v>
      </c>
      <c r="E17" s="460" t="s">
        <v>1018</v>
      </c>
      <c r="F17" s="448">
        <v>0</v>
      </c>
      <c r="G17" s="879">
        <v>700</v>
      </c>
      <c r="H17" s="842">
        <v>1900</v>
      </c>
      <c r="I17" s="843">
        <v>700</v>
      </c>
      <c r="J17" s="31"/>
      <c r="K17" s="380">
        <v>3232</v>
      </c>
      <c r="L17" s="378">
        <f t="shared" si="2"/>
        <v>0</v>
      </c>
      <c r="M17" s="392">
        <v>0.435</v>
      </c>
      <c r="N17" s="311">
        <f t="shared" si="0"/>
        <v>0</v>
      </c>
      <c r="O17" s="378">
        <f>(N17*VLOOKUP($D$9,'Base Costs'!$A$32:$B$37,2,FALSE))</f>
        <v>0</v>
      </c>
      <c r="P17" s="379">
        <f t="shared" si="1"/>
        <v>0</v>
      </c>
      <c r="V17" s="229"/>
      <c r="AB17" s="217"/>
    </row>
    <row r="18" spans="1:28" ht="15" customHeight="1" x14ac:dyDescent="0.2">
      <c r="D18" s="269" t="s">
        <v>1013</v>
      </c>
      <c r="E18" s="460" t="s">
        <v>1019</v>
      </c>
      <c r="F18" s="448">
        <v>0</v>
      </c>
      <c r="G18" s="879">
        <v>750</v>
      </c>
      <c r="H18" s="842">
        <v>1900</v>
      </c>
      <c r="I18" s="843">
        <v>750</v>
      </c>
      <c r="J18" s="31"/>
      <c r="K18" s="380">
        <v>3850</v>
      </c>
      <c r="L18" s="378">
        <f t="shared" si="2"/>
        <v>0</v>
      </c>
      <c r="M18" s="392">
        <v>0.435</v>
      </c>
      <c r="N18" s="311">
        <f t="shared" si="0"/>
        <v>0</v>
      </c>
      <c r="O18" s="378">
        <f>(N18*VLOOKUP($D$9,'Base Costs'!$A$32:$B$37,2,FALSE))</f>
        <v>0</v>
      </c>
      <c r="P18" s="379">
        <f t="shared" si="1"/>
        <v>0</v>
      </c>
      <c r="V18" s="229"/>
      <c r="AB18" s="217"/>
    </row>
    <row r="19" spans="1:28" ht="15" customHeight="1" x14ac:dyDescent="0.2">
      <c r="D19" s="269" t="s">
        <v>1014</v>
      </c>
      <c r="E19" s="460" t="s">
        <v>1020</v>
      </c>
      <c r="F19" s="448">
        <v>0</v>
      </c>
      <c r="G19" s="879">
        <v>850</v>
      </c>
      <c r="H19" s="842">
        <v>1900</v>
      </c>
      <c r="I19" s="843">
        <v>850</v>
      </c>
      <c r="J19" s="31"/>
      <c r="K19" s="380">
        <v>4495</v>
      </c>
      <c r="L19" s="378">
        <f t="shared" si="2"/>
        <v>0</v>
      </c>
      <c r="M19" s="392">
        <v>0.435</v>
      </c>
      <c r="N19" s="311">
        <f t="shared" si="0"/>
        <v>0</v>
      </c>
      <c r="O19" s="378">
        <f>(N19*VLOOKUP($D$9,'Base Costs'!$A$32:$B$37,2,FALSE))</f>
        <v>0</v>
      </c>
      <c r="P19" s="379">
        <f t="shared" si="1"/>
        <v>0</v>
      </c>
      <c r="V19" s="229"/>
      <c r="AB19" s="217"/>
    </row>
    <row r="20" spans="1:28" ht="15" customHeight="1" x14ac:dyDescent="0.2">
      <c r="D20" s="269" t="s">
        <v>1015</v>
      </c>
      <c r="E20" s="460" t="s">
        <v>1021</v>
      </c>
      <c r="F20" s="448">
        <v>0</v>
      </c>
      <c r="G20" s="879">
        <v>925</v>
      </c>
      <c r="H20" s="842">
        <v>1900</v>
      </c>
      <c r="I20" s="843">
        <v>925</v>
      </c>
      <c r="J20" s="31"/>
      <c r="K20" s="380">
        <v>5052</v>
      </c>
      <c r="L20" s="378">
        <f t="shared" si="2"/>
        <v>0</v>
      </c>
      <c r="M20" s="392">
        <v>0.435</v>
      </c>
      <c r="N20" s="311">
        <f t="shared" si="0"/>
        <v>0</v>
      </c>
      <c r="O20" s="378">
        <f>(N20*VLOOKUP($D$9,'Base Costs'!$A$32:$B$37,2,FALSE))</f>
        <v>0</v>
      </c>
      <c r="P20" s="379">
        <f t="shared" si="1"/>
        <v>0</v>
      </c>
      <c r="V20" s="229"/>
      <c r="AB20" s="217"/>
    </row>
    <row r="21" spans="1:28" ht="15" customHeight="1" x14ac:dyDescent="0.2">
      <c r="A21" s="215">
        <v>289</v>
      </c>
      <c r="D21" s="269" t="s">
        <v>1016</v>
      </c>
      <c r="E21" s="460" t="s">
        <v>1022</v>
      </c>
      <c r="F21" s="448">
        <v>0</v>
      </c>
      <c r="G21" s="880">
        <v>1000</v>
      </c>
      <c r="H21" s="842">
        <v>1400</v>
      </c>
      <c r="I21" s="843">
        <v>1000</v>
      </c>
      <c r="J21" s="31"/>
      <c r="K21" s="380">
        <v>7496</v>
      </c>
      <c r="L21" s="378">
        <f t="shared" si="2"/>
        <v>0</v>
      </c>
      <c r="M21" s="392">
        <v>0.435</v>
      </c>
      <c r="N21" s="311">
        <f t="shared" si="0"/>
        <v>0</v>
      </c>
      <c r="O21" s="378">
        <f>(N21*VLOOKUP($D$9,'Base Costs'!$A$32:$B$37,2,FALSE))</f>
        <v>0</v>
      </c>
      <c r="P21" s="379">
        <f t="shared" si="1"/>
        <v>0</v>
      </c>
      <c r="V21" s="229"/>
      <c r="AB21" s="217"/>
    </row>
    <row r="22" spans="1:28" ht="15" customHeight="1" x14ac:dyDescent="0.2">
      <c r="A22" s="215">
        <v>242</v>
      </c>
      <c r="D22" s="890" t="s">
        <v>1023</v>
      </c>
      <c r="E22" s="460" t="s">
        <v>969</v>
      </c>
      <c r="F22" s="448">
        <v>0</v>
      </c>
      <c r="G22" s="879">
        <v>350</v>
      </c>
      <c r="H22" s="842">
        <v>2000</v>
      </c>
      <c r="I22" s="843">
        <v>350</v>
      </c>
      <c r="J22" s="31"/>
      <c r="K22" s="380">
        <v>1281</v>
      </c>
      <c r="L22" s="378">
        <f t="shared" si="2"/>
        <v>0</v>
      </c>
      <c r="M22" s="392">
        <v>0.435</v>
      </c>
      <c r="N22" s="311">
        <f t="shared" si="0"/>
        <v>0</v>
      </c>
      <c r="O22" s="378">
        <f>(N22*VLOOKUP($D$9,'Base Costs'!$A$32:$B$37,2,FALSE))</f>
        <v>0</v>
      </c>
      <c r="P22" s="379">
        <f t="shared" si="1"/>
        <v>0</v>
      </c>
      <c r="V22" s="229"/>
      <c r="AB22" s="217"/>
    </row>
    <row r="23" spans="1:28" ht="15" customHeight="1" x14ac:dyDescent="0.2">
      <c r="A23" s="215">
        <v>220</v>
      </c>
      <c r="D23" s="891" t="s">
        <v>1024</v>
      </c>
      <c r="E23" s="460" t="s">
        <v>970</v>
      </c>
      <c r="F23" s="448">
        <v>0</v>
      </c>
      <c r="G23" s="879">
        <v>500</v>
      </c>
      <c r="H23" s="842">
        <v>2000</v>
      </c>
      <c r="I23" s="843">
        <v>500</v>
      </c>
      <c r="J23" s="31"/>
      <c r="K23" s="380">
        <v>1420</v>
      </c>
      <c r="L23" s="378">
        <f t="shared" si="2"/>
        <v>0</v>
      </c>
      <c r="M23" s="392">
        <v>0.435</v>
      </c>
      <c r="N23" s="311">
        <f t="shared" si="0"/>
        <v>0</v>
      </c>
      <c r="O23" s="378">
        <f>(N23*VLOOKUP($D$9,'Base Costs'!$A$32:$B$37,2,FALSE))</f>
        <v>0</v>
      </c>
      <c r="P23" s="379">
        <f t="shared" si="1"/>
        <v>0</v>
      </c>
      <c r="V23" s="229"/>
      <c r="AB23" s="217"/>
    </row>
    <row r="24" spans="1:28" ht="15" customHeight="1" x14ac:dyDescent="0.2">
      <c r="A24" s="215">
        <v>103</v>
      </c>
      <c r="C24" s="215" t="s">
        <v>1025</v>
      </c>
      <c r="D24" s="891" t="s">
        <v>1038</v>
      </c>
      <c r="E24" s="460" t="s">
        <v>1033</v>
      </c>
      <c r="F24" s="448">
        <v>0</v>
      </c>
      <c r="G24" s="879">
        <v>600</v>
      </c>
      <c r="H24" s="842">
        <v>2000</v>
      </c>
      <c r="I24" s="843">
        <v>600</v>
      </c>
      <c r="J24" s="31"/>
      <c r="K24" s="380">
        <v>2012</v>
      </c>
      <c r="L24" s="378">
        <f t="shared" si="2"/>
        <v>0</v>
      </c>
      <c r="M24" s="392">
        <v>0.435</v>
      </c>
      <c r="N24" s="311">
        <f t="shared" si="0"/>
        <v>0</v>
      </c>
      <c r="O24" s="378">
        <f>(N24*VLOOKUP($D$9,'Base Costs'!$A$32:$B$37,2,FALSE))</f>
        <v>0</v>
      </c>
      <c r="P24" s="379">
        <f t="shared" si="1"/>
        <v>0</v>
      </c>
      <c r="V24" s="229"/>
      <c r="AB24" s="217"/>
    </row>
    <row r="25" spans="1:28" ht="15" customHeight="1" x14ac:dyDescent="0.2">
      <c r="A25" s="215">
        <v>103</v>
      </c>
      <c r="D25" s="891" t="s">
        <v>1032</v>
      </c>
      <c r="E25" s="460" t="s">
        <v>1033</v>
      </c>
      <c r="F25" s="448">
        <v>0</v>
      </c>
      <c r="G25" s="879">
        <v>700</v>
      </c>
      <c r="H25" s="842">
        <v>2000</v>
      </c>
      <c r="I25" s="843">
        <v>600</v>
      </c>
      <c r="J25" s="31"/>
      <c r="K25" s="380">
        <v>2053</v>
      </c>
      <c r="L25" s="378">
        <f t="shared" si="2"/>
        <v>0</v>
      </c>
      <c r="M25" s="392">
        <v>0.435</v>
      </c>
      <c r="N25" s="311">
        <f t="shared" si="0"/>
        <v>0</v>
      </c>
      <c r="O25" s="378">
        <f>(N25*VLOOKUP($D$9,'Base Costs'!$A$32:$B$37,2,FALSE))</f>
        <v>0</v>
      </c>
      <c r="P25" s="379">
        <f t="shared" si="1"/>
        <v>0</v>
      </c>
      <c r="V25" s="229"/>
      <c r="AB25" s="217"/>
    </row>
    <row r="26" spans="1:28" ht="15" customHeight="1" x14ac:dyDescent="0.2">
      <c r="D26" s="891" t="s">
        <v>1031</v>
      </c>
      <c r="E26" s="460" t="s">
        <v>1034</v>
      </c>
      <c r="F26" s="448">
        <v>0</v>
      </c>
      <c r="G26" s="879">
        <v>750</v>
      </c>
      <c r="H26" s="842">
        <v>2000</v>
      </c>
      <c r="I26" s="843">
        <v>600</v>
      </c>
      <c r="J26" s="31"/>
      <c r="K26" s="380">
        <v>2272</v>
      </c>
      <c r="L26" s="378">
        <f t="shared" si="2"/>
        <v>0</v>
      </c>
      <c r="M26" s="392">
        <v>0.435</v>
      </c>
      <c r="N26" s="311">
        <f t="shared" si="0"/>
        <v>0</v>
      </c>
      <c r="O26" s="378">
        <f>(N26*VLOOKUP($D$9,'Base Costs'!$A$32:$B$37,2,FALSE))</f>
        <v>0</v>
      </c>
      <c r="P26" s="379">
        <f t="shared" si="1"/>
        <v>0</v>
      </c>
      <c r="V26" s="229"/>
      <c r="AB26" s="217"/>
    </row>
    <row r="27" spans="1:28" ht="15" customHeight="1" x14ac:dyDescent="0.15">
      <c r="A27" s="215">
        <v>285</v>
      </c>
      <c r="D27" s="891" t="s">
        <v>1030</v>
      </c>
      <c r="E27" s="460" t="s">
        <v>1035</v>
      </c>
      <c r="F27" s="448">
        <v>0</v>
      </c>
      <c r="G27" s="885">
        <v>850</v>
      </c>
      <c r="H27" s="884">
        <v>2000</v>
      </c>
      <c r="I27" s="888">
        <v>850</v>
      </c>
      <c r="J27" s="31"/>
      <c r="K27" s="380">
        <v>2946</v>
      </c>
      <c r="L27" s="378">
        <f t="shared" si="2"/>
        <v>0</v>
      </c>
      <c r="M27" s="392">
        <v>0.435</v>
      </c>
      <c r="N27" s="311">
        <f t="shared" si="0"/>
        <v>0</v>
      </c>
      <c r="O27" s="378">
        <f>(N27*VLOOKUP($D$9,'Base Costs'!$A$32:$B$37,2,FALSE))</f>
        <v>0</v>
      </c>
      <c r="P27" s="379">
        <f t="shared" si="1"/>
        <v>0</v>
      </c>
      <c r="V27" s="229"/>
      <c r="AB27" s="217"/>
    </row>
    <row r="28" spans="1:28" ht="15" customHeight="1" x14ac:dyDescent="0.15">
      <c r="D28" s="891" t="s">
        <v>1029</v>
      </c>
      <c r="E28" s="460" t="s">
        <v>1035</v>
      </c>
      <c r="F28" s="448">
        <v>0</v>
      </c>
      <c r="G28" s="885">
        <v>925</v>
      </c>
      <c r="H28" s="885">
        <v>2000</v>
      </c>
      <c r="I28" s="888">
        <v>925</v>
      </c>
      <c r="J28" s="31"/>
      <c r="K28" s="380">
        <v>2344</v>
      </c>
      <c r="L28" s="378">
        <f t="shared" si="2"/>
        <v>0</v>
      </c>
      <c r="M28" s="392">
        <v>0.435</v>
      </c>
      <c r="N28" s="311">
        <f t="shared" si="0"/>
        <v>0</v>
      </c>
      <c r="O28" s="378">
        <f>(N28*VLOOKUP($D$9,'Base Costs'!$A$32:$B$37,2,FALSE))</f>
        <v>0</v>
      </c>
      <c r="P28" s="379">
        <f t="shared" si="1"/>
        <v>0</v>
      </c>
      <c r="V28" s="229"/>
      <c r="AB28" s="217"/>
    </row>
    <row r="29" spans="1:28" ht="15" customHeight="1" x14ac:dyDescent="0.15">
      <c r="D29" s="891" t="s">
        <v>1028</v>
      </c>
      <c r="E29" s="460" t="s">
        <v>1036</v>
      </c>
      <c r="F29" s="448">
        <v>0</v>
      </c>
      <c r="G29" s="885">
        <v>1000</v>
      </c>
      <c r="H29" s="885">
        <v>2000</v>
      </c>
      <c r="I29" s="888">
        <v>1000</v>
      </c>
      <c r="J29" s="31"/>
      <c r="K29" s="380">
        <v>3598</v>
      </c>
      <c r="L29" s="378">
        <f t="shared" si="2"/>
        <v>0</v>
      </c>
      <c r="M29" s="392">
        <v>0.435</v>
      </c>
      <c r="N29" s="311">
        <f t="shared" si="0"/>
        <v>0</v>
      </c>
      <c r="O29" s="378">
        <f>(N29*VLOOKUP($D$9,'Base Costs'!$A$32:$B$37,2,FALSE))</f>
        <v>0</v>
      </c>
      <c r="P29" s="379">
        <f t="shared" si="1"/>
        <v>0</v>
      </c>
      <c r="V29" s="229"/>
      <c r="AB29" s="217"/>
    </row>
    <row r="30" spans="1:28" ht="15" customHeight="1" x14ac:dyDescent="0.15">
      <c r="A30" s="215">
        <v>286</v>
      </c>
      <c r="D30" s="891" t="s">
        <v>1027</v>
      </c>
      <c r="E30" s="460" t="s">
        <v>1036</v>
      </c>
      <c r="F30" s="448">
        <v>0</v>
      </c>
      <c r="G30" s="885">
        <v>1400</v>
      </c>
      <c r="H30" s="885">
        <v>2000</v>
      </c>
      <c r="I30" s="884">
        <v>800</v>
      </c>
      <c r="J30" s="31"/>
      <c r="K30" s="380">
        <v>3675</v>
      </c>
      <c r="L30" s="378">
        <f t="shared" si="2"/>
        <v>0</v>
      </c>
      <c r="M30" s="392">
        <v>0.435</v>
      </c>
      <c r="N30" s="311">
        <f t="shared" ref="N30" si="3">(L30/(1-M30))*(1+$E$9)</f>
        <v>0</v>
      </c>
      <c r="O30" s="378">
        <f>(N30*VLOOKUP($D$9,'Base Costs'!$A$32:$B$37,2,FALSE))</f>
        <v>0</v>
      </c>
      <c r="P30" s="379">
        <f t="shared" ref="P30" si="4">N30-L30</f>
        <v>0</v>
      </c>
      <c r="V30" s="229"/>
      <c r="AB30" s="217"/>
    </row>
    <row r="31" spans="1:28" ht="15" customHeight="1" x14ac:dyDescent="0.15">
      <c r="D31" s="891" t="s">
        <v>1026</v>
      </c>
      <c r="E31" s="460" t="s">
        <v>1037</v>
      </c>
      <c r="F31" s="448">
        <v>0</v>
      </c>
      <c r="G31" s="887">
        <v>1500</v>
      </c>
      <c r="H31" s="886">
        <v>2000</v>
      </c>
      <c r="I31" s="884">
        <v>800</v>
      </c>
      <c r="J31" s="31"/>
      <c r="K31" s="889">
        <v>4302</v>
      </c>
      <c r="L31" s="378">
        <f t="shared" si="2"/>
        <v>0</v>
      </c>
      <c r="M31" s="392">
        <v>0.435</v>
      </c>
      <c r="N31" s="311">
        <f>(L31/(1-M31))*(1+$E$9)</f>
        <v>0</v>
      </c>
      <c r="O31" s="378">
        <f>(N31*VLOOKUP($D$9,'Base Costs'!$A$32:$B$37,2,FALSE))</f>
        <v>0</v>
      </c>
      <c r="P31" s="379">
        <f>N31-L31</f>
        <v>0</v>
      </c>
      <c r="V31" s="229"/>
      <c r="AB31" s="217"/>
    </row>
    <row r="32" spans="1:28" ht="15" customHeight="1" x14ac:dyDescent="0.15">
      <c r="D32" s="269"/>
      <c r="E32" s="460" t="s">
        <v>603</v>
      </c>
      <c r="F32" s="448">
        <v>0</v>
      </c>
      <c r="G32" s="883"/>
      <c r="H32" s="886"/>
      <c r="I32" s="882"/>
      <c r="J32" s="31"/>
      <c r="K32" s="841"/>
      <c r="L32" s="378">
        <f t="shared" si="2"/>
        <v>0</v>
      </c>
      <c r="M32" s="392">
        <v>0.435</v>
      </c>
      <c r="N32" s="311">
        <f>(L32/(1-M32))*(1+$E$9)</f>
        <v>0</v>
      </c>
      <c r="O32" s="378">
        <f>(N32*VLOOKUP($D$9,'Base Costs'!$A$32:$B$37,2,FALSE))</f>
        <v>0</v>
      </c>
      <c r="P32" s="379">
        <f>N32-L32</f>
        <v>0</v>
      </c>
      <c r="V32" s="229"/>
      <c r="AB32" s="217"/>
    </row>
    <row r="33" spans="1:28" ht="15" customHeight="1" x14ac:dyDescent="0.15">
      <c r="I33" s="34" t="s">
        <v>347</v>
      </c>
    </row>
    <row r="34" spans="1:28" ht="15" customHeight="1" x14ac:dyDescent="0.15">
      <c r="D34" s="239"/>
      <c r="E34" s="239"/>
      <c r="F34" s="239"/>
      <c r="G34" s="239"/>
      <c r="H34" s="239"/>
      <c r="I34" s="239"/>
      <c r="J34" s="9"/>
      <c r="K34" s="11"/>
      <c r="L34" s="353"/>
      <c r="M34" s="240"/>
      <c r="N34" s="353"/>
      <c r="O34" s="353"/>
      <c r="V34" s="229"/>
      <c r="AB34" s="217"/>
    </row>
    <row r="35" spans="1:28" ht="15" customHeight="1" x14ac:dyDescent="0.15">
      <c r="D35" s="1094" t="s">
        <v>47</v>
      </c>
      <c r="E35" s="1094"/>
      <c r="F35" s="1094"/>
      <c r="G35" s="1094"/>
      <c r="H35" s="1094"/>
      <c r="I35" s="1094"/>
      <c r="J35" s="236"/>
      <c r="K35" s="330"/>
      <c r="L35" s="154" t="e">
        <f>SUBTOTAL(9,L36:L46)</f>
        <v>#N/A</v>
      </c>
      <c r="M35" s="15" t="e">
        <f>IF(L36=0,"-",P35/N35)</f>
        <v>#N/A</v>
      </c>
      <c r="N35" s="154" t="e">
        <f>SUBTOTAL(9,N36:N46)</f>
        <v>#N/A</v>
      </c>
      <c r="O35" s="464" t="e">
        <f>SUBTOTAL(9,O36:O46)</f>
        <v>#N/A</v>
      </c>
      <c r="P35" s="154">
        <f>SUBTOTAL(9,P37:P46)</f>
        <v>0</v>
      </c>
      <c r="V35" s="229"/>
    </row>
    <row r="36" spans="1:28" ht="15" customHeight="1" x14ac:dyDescent="0.15">
      <c r="A36" s="215">
        <v>222</v>
      </c>
      <c r="D36" s="269" t="s">
        <v>10</v>
      </c>
      <c r="E36" s="242"/>
      <c r="F36" s="309" t="s">
        <v>364</v>
      </c>
      <c r="G36" s="28"/>
      <c r="H36" s="30"/>
      <c r="I36" s="28"/>
      <c r="J36" s="28"/>
      <c r="K36" s="385" t="e">
        <f>VLOOKUP(F36,'Base Costs'!E4:G213,2,FALSE)</f>
        <v>#N/A</v>
      </c>
      <c r="L36" s="378" t="e">
        <f t="shared" ref="L36:L46" si="5">E36*K36</f>
        <v>#N/A</v>
      </c>
      <c r="M36" s="392">
        <v>0.1</v>
      </c>
      <c r="N36" s="311" t="e">
        <f t="shared" ref="N36:N46" si="6">(L36/(1-M36))*(1+$E$9)</f>
        <v>#N/A</v>
      </c>
      <c r="O36" s="378" t="e">
        <f>(N36*VLOOKUP($D$9,'Base Costs'!$A$32:$B$37,2,FALSE))</f>
        <v>#N/A</v>
      </c>
      <c r="P36" s="379" t="e">
        <f t="shared" ref="P36:P46" si="7">N36-L36</f>
        <v>#N/A</v>
      </c>
      <c r="V36" s="229"/>
    </row>
    <row r="37" spans="1:28" ht="15" customHeight="1" x14ac:dyDescent="0.15">
      <c r="A37" s="215">
        <v>257</v>
      </c>
      <c r="D37" s="269" t="s">
        <v>36</v>
      </c>
      <c r="E37" s="242"/>
      <c r="F37" s="309" t="s">
        <v>184</v>
      </c>
      <c r="G37" s="28"/>
      <c r="H37" s="28"/>
      <c r="I37" s="28"/>
      <c r="J37" s="28"/>
      <c r="K37" s="385">
        <f>VLOOKUP(F37,'Base Costs'!$A$4:$B$16,2,FALSE)</f>
        <v>0</v>
      </c>
      <c r="L37" s="378">
        <f t="shared" si="5"/>
        <v>0</v>
      </c>
      <c r="M37" s="392">
        <v>0.37</v>
      </c>
      <c r="N37" s="311">
        <f t="shared" si="6"/>
        <v>0</v>
      </c>
      <c r="O37" s="378">
        <f>(N37*VLOOKUP($D$9,'Base Costs'!$A$32:$B$37,2,FALSE))</f>
        <v>0</v>
      </c>
      <c r="P37" s="379">
        <f t="shared" si="7"/>
        <v>0</v>
      </c>
      <c r="V37" s="229"/>
    </row>
    <row r="38" spans="1:28" ht="15" customHeight="1" x14ac:dyDescent="0.15">
      <c r="A38" s="215">
        <v>257</v>
      </c>
      <c r="D38" s="269" t="s">
        <v>36</v>
      </c>
      <c r="E38" s="242"/>
      <c r="F38" s="309" t="s">
        <v>184</v>
      </c>
      <c r="G38" s="28"/>
      <c r="H38" s="28"/>
      <c r="I38" s="28"/>
      <c r="J38" s="28"/>
      <c r="K38" s="385">
        <f>VLOOKUP(F38,'Base Costs'!$A$4:$B$16,2,FALSE)</f>
        <v>0</v>
      </c>
      <c r="L38" s="378">
        <f t="shared" si="5"/>
        <v>0</v>
      </c>
      <c r="M38" s="392">
        <v>0.37</v>
      </c>
      <c r="N38" s="311">
        <f t="shared" ref="N38" si="8">(L38/(1-M38))*(1+$E$9)</f>
        <v>0</v>
      </c>
      <c r="O38" s="378">
        <f>(N38*VLOOKUP($D$9,'Base Costs'!$A$32:$B$37,2,FALSE))</f>
        <v>0</v>
      </c>
      <c r="P38" s="379">
        <f t="shared" ref="P38" si="9">N38-L38</f>
        <v>0</v>
      </c>
      <c r="V38" s="229"/>
    </row>
    <row r="39" spans="1:28" ht="15" customHeight="1" x14ac:dyDescent="0.15">
      <c r="A39" s="215">
        <v>400</v>
      </c>
      <c r="D39" s="269" t="s">
        <v>16</v>
      </c>
      <c r="E39" s="242"/>
      <c r="F39" s="28" t="s">
        <v>137</v>
      </c>
      <c r="G39" s="28"/>
      <c r="H39" s="28"/>
      <c r="I39" s="28"/>
      <c r="J39" s="28"/>
      <c r="K39" s="385">
        <v>375</v>
      </c>
      <c r="L39" s="378">
        <f t="shared" si="5"/>
        <v>0</v>
      </c>
      <c r="M39" s="392">
        <v>0.37</v>
      </c>
      <c r="N39" s="311">
        <f t="shared" si="6"/>
        <v>0</v>
      </c>
      <c r="O39" s="378">
        <f>(N39*VLOOKUP($D$9,'Base Costs'!$A$32:$B$37,2,FALSE))</f>
        <v>0</v>
      </c>
      <c r="P39" s="379">
        <f t="shared" si="7"/>
        <v>0</v>
      </c>
      <c r="V39" s="229"/>
    </row>
    <row r="40" spans="1:28" ht="15" customHeight="1" x14ac:dyDescent="0.15">
      <c r="A40" s="215">
        <v>102</v>
      </c>
      <c r="D40" s="269" t="s">
        <v>13</v>
      </c>
      <c r="E40" s="242"/>
      <c r="F40" s="28" t="s">
        <v>199</v>
      </c>
      <c r="G40" s="28"/>
      <c r="H40" s="28"/>
      <c r="I40" s="28"/>
      <c r="J40" s="28"/>
      <c r="K40" s="385">
        <v>15</v>
      </c>
      <c r="L40" s="378">
        <f t="shared" si="5"/>
        <v>0</v>
      </c>
      <c r="M40" s="392">
        <v>0.37</v>
      </c>
      <c r="N40" s="311">
        <f t="shared" si="6"/>
        <v>0</v>
      </c>
      <c r="O40" s="378">
        <f>(N40*VLOOKUP($D$9,'Base Costs'!$A$32:$B$37,2,FALSE))</f>
        <v>0</v>
      </c>
      <c r="P40" s="379">
        <f t="shared" si="7"/>
        <v>0</v>
      </c>
      <c r="V40" s="229"/>
    </row>
    <row r="41" spans="1:28" ht="15" customHeight="1" x14ac:dyDescent="0.15">
      <c r="A41" s="215">
        <v>400</v>
      </c>
      <c r="D41" s="269" t="s">
        <v>135</v>
      </c>
      <c r="E41" s="242"/>
      <c r="F41" s="28" t="s">
        <v>887</v>
      </c>
      <c r="G41" s="28"/>
      <c r="H41" s="28"/>
      <c r="I41" s="28"/>
      <c r="J41" s="28"/>
      <c r="K41" s="385">
        <v>500</v>
      </c>
      <c r="L41" s="378">
        <f t="shared" si="5"/>
        <v>0</v>
      </c>
      <c r="M41" s="392">
        <v>0.25</v>
      </c>
      <c r="N41" s="311">
        <f t="shared" si="6"/>
        <v>0</v>
      </c>
      <c r="O41" s="378">
        <f>(N41*VLOOKUP($D$9,'Base Costs'!$A$32:$B$37,2,FALSE))</f>
        <v>0</v>
      </c>
      <c r="P41" s="379">
        <f t="shared" si="7"/>
        <v>0</v>
      </c>
      <c r="V41" s="229"/>
    </row>
    <row r="42" spans="1:28" ht="15" customHeight="1" x14ac:dyDescent="0.15">
      <c r="A42" s="215">
        <v>400</v>
      </c>
      <c r="D42" s="269" t="s">
        <v>136</v>
      </c>
      <c r="E42" s="242"/>
      <c r="F42" s="28" t="s">
        <v>887</v>
      </c>
      <c r="G42" s="28"/>
      <c r="H42" s="28"/>
      <c r="I42" s="28"/>
      <c r="J42" s="28"/>
      <c r="K42" s="385">
        <v>861</v>
      </c>
      <c r="L42" s="378">
        <f t="shared" si="5"/>
        <v>0</v>
      </c>
      <c r="M42" s="392">
        <v>0.25</v>
      </c>
      <c r="N42" s="311">
        <f t="shared" si="6"/>
        <v>0</v>
      </c>
      <c r="O42" s="378">
        <f>(N42*VLOOKUP($D$9,'Base Costs'!$A$32:$B$37,2,FALSE))</f>
        <v>0</v>
      </c>
      <c r="P42" s="379">
        <f t="shared" si="7"/>
        <v>0</v>
      </c>
      <c r="V42" s="229"/>
    </row>
    <row r="43" spans="1:28" ht="15" customHeight="1" x14ac:dyDescent="0.15">
      <c r="A43" s="215">
        <v>253</v>
      </c>
      <c r="D43" s="269" t="s">
        <v>539</v>
      </c>
      <c r="E43" s="242"/>
      <c r="F43" s="28" t="s">
        <v>139</v>
      </c>
      <c r="G43" s="28"/>
      <c r="H43" s="28"/>
      <c r="I43" s="28"/>
      <c r="J43" s="28"/>
      <c r="K43" s="385"/>
      <c r="L43" s="378">
        <f t="shared" si="5"/>
        <v>0</v>
      </c>
      <c r="M43" s="392">
        <v>0.37</v>
      </c>
      <c r="N43" s="311">
        <f t="shared" si="6"/>
        <v>0</v>
      </c>
      <c r="O43" s="378">
        <f>(N43*VLOOKUP($D$9,'Base Costs'!$A$32:$B$37,2,FALSE))</f>
        <v>0</v>
      </c>
      <c r="P43" s="379">
        <f t="shared" si="7"/>
        <v>0</v>
      </c>
      <c r="V43" s="229"/>
    </row>
    <row r="44" spans="1:28" ht="15" customHeight="1" x14ac:dyDescent="0.15">
      <c r="A44" s="215">
        <v>253</v>
      </c>
      <c r="D44" s="269" t="s">
        <v>12</v>
      </c>
      <c r="E44" s="242"/>
      <c r="F44" s="28" t="s">
        <v>139</v>
      </c>
      <c r="G44" s="28"/>
      <c r="H44" s="28"/>
      <c r="I44" s="28"/>
      <c r="J44" s="28"/>
      <c r="K44" s="385">
        <v>170</v>
      </c>
      <c r="L44" s="378">
        <f t="shared" si="5"/>
        <v>0</v>
      </c>
      <c r="M44" s="392">
        <v>0.37</v>
      </c>
      <c r="N44" s="311">
        <f t="shared" si="6"/>
        <v>0</v>
      </c>
      <c r="O44" s="378">
        <f>(N44*VLOOKUP($D$9,'Base Costs'!$A$32:$B$37,2,FALSE))</f>
        <v>0</v>
      </c>
      <c r="P44" s="379">
        <f t="shared" si="7"/>
        <v>0</v>
      </c>
      <c r="V44" s="229"/>
    </row>
    <row r="45" spans="1:28" ht="15" customHeight="1" x14ac:dyDescent="0.15">
      <c r="A45" s="215">
        <v>280</v>
      </c>
      <c r="D45" s="269" t="s">
        <v>32</v>
      </c>
      <c r="E45" s="242"/>
      <c r="F45" s="28" t="s">
        <v>140</v>
      </c>
      <c r="G45" s="28"/>
      <c r="H45" s="28"/>
      <c r="I45" s="28"/>
      <c r="J45" s="28"/>
      <c r="K45" s="385">
        <v>417</v>
      </c>
      <c r="L45" s="378">
        <f t="shared" si="5"/>
        <v>0</v>
      </c>
      <c r="M45" s="392">
        <v>0.37</v>
      </c>
      <c r="N45" s="311">
        <f>(L45/(1-M45))*(1+$E$9)</f>
        <v>0</v>
      </c>
      <c r="O45" s="378">
        <f>(N45*VLOOKUP($D$9,'Base Costs'!$A$32:$B$37,2,FALSE))</f>
        <v>0</v>
      </c>
      <c r="P45" s="379">
        <f>N45-L45</f>
        <v>0</v>
      </c>
      <c r="V45" s="229"/>
    </row>
    <row r="46" spans="1:28" ht="15" customHeight="1" x14ac:dyDescent="0.15">
      <c r="A46" s="215">
        <v>284</v>
      </c>
      <c r="D46" s="269" t="s">
        <v>200</v>
      </c>
      <c r="E46" s="242"/>
      <c r="F46" s="28" t="s">
        <v>201</v>
      </c>
      <c r="G46" s="28"/>
      <c r="H46" s="28"/>
      <c r="I46" s="28"/>
      <c r="J46" s="28"/>
      <c r="K46" s="385">
        <v>200</v>
      </c>
      <c r="L46" s="378">
        <f t="shared" si="5"/>
        <v>0</v>
      </c>
      <c r="M46" s="392">
        <v>0.37</v>
      </c>
      <c r="N46" s="311">
        <f t="shared" si="6"/>
        <v>0</v>
      </c>
      <c r="O46" s="378">
        <f>(N46*VLOOKUP($D$9,'Base Costs'!$A$32:$B$37,2,FALSE))</f>
        <v>0</v>
      </c>
      <c r="P46" s="379">
        <f t="shared" si="7"/>
        <v>0</v>
      </c>
      <c r="V46" s="229"/>
    </row>
    <row r="47" spans="1:28" ht="15" customHeight="1" x14ac:dyDescent="0.15">
      <c r="D47" s="239"/>
      <c r="E47" s="239"/>
      <c r="F47" s="239"/>
      <c r="G47" s="239"/>
      <c r="H47" s="239"/>
      <c r="I47" s="243"/>
      <c r="J47" s="244"/>
      <c r="K47" s="354"/>
      <c r="L47" s="353"/>
      <c r="M47" s="355"/>
      <c r="N47" s="353"/>
      <c r="O47" s="353"/>
      <c r="V47" s="229"/>
    </row>
    <row r="48" spans="1:28" ht="15" customHeight="1" x14ac:dyDescent="0.2">
      <c r="D48" s="197" t="s">
        <v>121</v>
      </c>
      <c r="E48" s="198"/>
      <c r="F48" s="199"/>
      <c r="G48" s="199"/>
      <c r="H48" s="198"/>
      <c r="I48" s="200"/>
      <c r="J48" s="198"/>
      <c r="K48" s="198"/>
      <c r="L48" s="198"/>
      <c r="M48" s="198"/>
      <c r="N48" s="198"/>
      <c r="O48" s="198"/>
      <c r="P48" s="198"/>
      <c r="V48" s="229"/>
    </row>
    <row r="49" spans="4:22" ht="15" customHeight="1" x14ac:dyDescent="0.2">
      <c r="D49" s="202"/>
      <c r="E49" s="203"/>
      <c r="F49" s="202"/>
      <c r="G49" s="204"/>
      <c r="H49" s="202"/>
      <c r="I49" s="209"/>
      <c r="J49" s="203"/>
      <c r="K49" s="203"/>
      <c r="L49" s="205"/>
      <c r="M49" s="205"/>
      <c r="N49" s="205"/>
      <c r="O49" s="205"/>
      <c r="P49" s="205"/>
      <c r="V49" s="229"/>
    </row>
    <row r="50" spans="4:22" ht="15" customHeight="1" x14ac:dyDescent="0.2">
      <c r="D50" s="202"/>
      <c r="E50" s="203"/>
      <c r="F50" s="202"/>
      <c r="G50" s="204"/>
      <c r="H50" s="202"/>
      <c r="I50" s="209"/>
      <c r="J50" s="203"/>
      <c r="K50" s="203"/>
      <c r="L50" s="205"/>
      <c r="M50" s="205"/>
      <c r="N50" s="205"/>
      <c r="O50" s="205"/>
      <c r="P50" s="205"/>
      <c r="V50" s="229"/>
    </row>
    <row r="51" spans="4:22" ht="15" customHeight="1" x14ac:dyDescent="0.2">
      <c r="D51" s="202"/>
      <c r="E51" s="203"/>
      <c r="F51" s="202"/>
      <c r="G51" s="204"/>
      <c r="H51" s="202"/>
      <c r="I51" s="209"/>
      <c r="J51" s="203"/>
      <c r="K51" s="203"/>
      <c r="L51" s="209"/>
      <c r="M51" s="209"/>
      <c r="N51" s="209"/>
      <c r="O51" s="209"/>
      <c r="P51" s="209"/>
      <c r="V51" s="229"/>
    </row>
    <row r="52" spans="4:22" ht="15" customHeight="1" x14ac:dyDescent="0.2">
      <c r="D52" s="202"/>
      <c r="E52" s="203"/>
      <c r="F52" s="202"/>
      <c r="G52" s="204"/>
      <c r="H52" s="202"/>
      <c r="I52" s="209"/>
      <c r="J52" s="206"/>
      <c r="K52" s="203"/>
      <c r="L52" s="209"/>
      <c r="M52" s="209"/>
      <c r="N52" s="209"/>
      <c r="O52" s="209"/>
      <c r="P52" s="209"/>
      <c r="V52" s="229"/>
    </row>
    <row r="53" spans="4:22" ht="15" customHeight="1" x14ac:dyDescent="0.2">
      <c r="D53" s="202"/>
      <c r="E53" s="203"/>
      <c r="F53" s="202"/>
      <c r="G53" s="202"/>
      <c r="H53" s="202"/>
      <c r="I53" s="207"/>
      <c r="J53" s="209"/>
      <c r="K53" s="203"/>
      <c r="L53" s="205"/>
      <c r="M53" s="205"/>
      <c r="N53" s="205"/>
      <c r="O53" s="205"/>
      <c r="P53" s="205"/>
      <c r="V53" s="229"/>
    </row>
    <row r="54" spans="4:22" ht="15" customHeight="1" x14ac:dyDescent="0.2">
      <c r="D54" s="202"/>
      <c r="E54" s="202"/>
      <c r="F54" s="202"/>
      <c r="G54" s="202"/>
      <c r="H54" s="202"/>
      <c r="I54" s="207"/>
      <c r="J54" s="209"/>
      <c r="K54" s="203"/>
      <c r="L54" s="205"/>
      <c r="M54" s="205"/>
      <c r="N54" s="205"/>
      <c r="O54" s="205"/>
      <c r="P54" s="205"/>
      <c r="V54" s="229"/>
    </row>
    <row r="55" spans="4:22" ht="15" customHeight="1" x14ac:dyDescent="0.15">
      <c r="K55" s="228"/>
      <c r="N55" s="228"/>
      <c r="P55" s="228"/>
      <c r="V55" s="229"/>
    </row>
    <row r="56" spans="4:22" ht="15" customHeight="1" x14ac:dyDescent="0.15">
      <c r="K56" s="228"/>
      <c r="N56" s="228"/>
      <c r="P56" s="228"/>
      <c r="V56" s="229"/>
    </row>
    <row r="57" spans="4:22" ht="15" customHeight="1" x14ac:dyDescent="0.15">
      <c r="I57" s="219"/>
      <c r="V57" s="229"/>
    </row>
    <row r="58" spans="4:22" ht="15" customHeight="1" x14ac:dyDescent="0.15">
      <c r="I58" s="219"/>
      <c r="V58" s="229"/>
    </row>
    <row r="59" spans="4:22" ht="15" customHeight="1" x14ac:dyDescent="0.15">
      <c r="I59" s="219"/>
      <c r="V59" s="229"/>
    </row>
    <row r="60" spans="4:22" ht="15" customHeight="1" x14ac:dyDescent="0.15">
      <c r="I60" s="219"/>
      <c r="V60" s="229"/>
    </row>
    <row r="61" spans="4:22" ht="15" customHeight="1" x14ac:dyDescent="0.15">
      <c r="I61" s="219"/>
      <c r="V61" s="229"/>
    </row>
    <row r="62" spans="4:22" ht="15" customHeight="1" x14ac:dyDescent="0.15">
      <c r="I62" s="219"/>
      <c r="V62" s="229"/>
    </row>
    <row r="63" spans="4:22" ht="15" customHeight="1" x14ac:dyDescent="0.15">
      <c r="I63" s="219"/>
      <c r="V63" s="229"/>
    </row>
    <row r="64" spans="4:22" ht="15" customHeight="1" x14ac:dyDescent="0.15">
      <c r="I64" s="219"/>
      <c r="V64" s="229"/>
    </row>
    <row r="65" spans="4:22" ht="15" customHeight="1" x14ac:dyDescent="0.15">
      <c r="I65" s="219"/>
      <c r="V65" s="229"/>
    </row>
    <row r="66" spans="4:22" ht="15" customHeight="1" x14ac:dyDescent="0.15">
      <c r="D66" s="245"/>
      <c r="E66" s="245"/>
      <c r="F66" s="245"/>
      <c r="G66" s="245"/>
      <c r="H66" s="245"/>
      <c r="I66" s="245"/>
      <c r="V66" s="229"/>
    </row>
    <row r="67" spans="4:22" ht="15" customHeight="1" x14ac:dyDescent="0.15">
      <c r="V67" s="229"/>
    </row>
    <row r="68" spans="4:22" ht="15" customHeight="1" x14ac:dyDescent="0.15">
      <c r="V68" s="229"/>
    </row>
    <row r="69" spans="4:22" ht="15" customHeight="1" x14ac:dyDescent="0.15">
      <c r="V69" s="229"/>
    </row>
    <row r="70" spans="4:22" ht="15" customHeight="1" x14ac:dyDescent="0.15">
      <c r="V70" s="229"/>
    </row>
    <row r="71" spans="4:22" ht="15" customHeight="1" x14ac:dyDescent="0.15">
      <c r="V71" s="229"/>
    </row>
    <row r="72" spans="4:22" ht="15" customHeight="1" x14ac:dyDescent="0.15">
      <c r="V72" s="229"/>
    </row>
    <row r="73" spans="4:22" ht="15" customHeight="1" x14ac:dyDescent="0.15">
      <c r="V73" s="229"/>
    </row>
    <row r="74" spans="4:22" ht="15" customHeight="1" x14ac:dyDescent="0.15">
      <c r="V74" s="229"/>
    </row>
    <row r="75" spans="4:22" ht="15" customHeight="1" x14ac:dyDescent="0.15">
      <c r="V75" s="229"/>
    </row>
    <row r="76" spans="4:22" ht="15" customHeight="1" x14ac:dyDescent="0.15">
      <c r="V76" s="229"/>
    </row>
    <row r="77" spans="4:22" ht="15" customHeight="1" x14ac:dyDescent="0.15">
      <c r="V77" s="229"/>
    </row>
    <row r="78" spans="4:22" ht="15" customHeight="1" x14ac:dyDescent="0.15">
      <c r="V78" s="229"/>
    </row>
    <row r="79" spans="4:22" ht="15" customHeight="1" x14ac:dyDescent="0.15">
      <c r="V79" s="229"/>
    </row>
    <row r="80" spans="4:22" ht="15" customHeight="1" x14ac:dyDescent="0.15">
      <c r="V80" s="229"/>
    </row>
    <row r="81" spans="22:22" ht="15" customHeight="1" x14ac:dyDescent="0.15">
      <c r="V81" s="229"/>
    </row>
    <row r="82" spans="22:22" ht="15" customHeight="1" x14ac:dyDescent="0.15">
      <c r="V82" s="229"/>
    </row>
    <row r="83" spans="22:22" ht="15" customHeight="1" x14ac:dyDescent="0.15">
      <c r="V83" s="229"/>
    </row>
    <row r="84" spans="22:22" ht="15" customHeight="1" x14ac:dyDescent="0.15">
      <c r="V84" s="229"/>
    </row>
    <row r="85" spans="22:22" ht="15" customHeight="1" x14ac:dyDescent="0.15">
      <c r="V85" s="229"/>
    </row>
    <row r="86" spans="22:22" ht="15" customHeight="1" x14ac:dyDescent="0.15">
      <c r="V86" s="229"/>
    </row>
    <row r="87" spans="22:22" ht="15" customHeight="1" x14ac:dyDescent="0.15">
      <c r="V87" s="229"/>
    </row>
    <row r="88" spans="22:22" ht="15" customHeight="1" x14ac:dyDescent="0.15">
      <c r="V88" s="229"/>
    </row>
    <row r="89" spans="22:22" ht="15" customHeight="1" x14ac:dyDescent="0.15">
      <c r="V89" s="229"/>
    </row>
    <row r="90" spans="22:22" ht="15" customHeight="1" x14ac:dyDescent="0.15">
      <c r="V90" s="229"/>
    </row>
    <row r="91" spans="22:22" ht="15" customHeight="1" x14ac:dyDescent="0.15">
      <c r="V91" s="229"/>
    </row>
    <row r="92" spans="22:22" ht="15" customHeight="1" x14ac:dyDescent="0.15">
      <c r="V92" s="229"/>
    </row>
    <row r="93" spans="22:22" ht="15" customHeight="1" x14ac:dyDescent="0.15">
      <c r="V93" s="229"/>
    </row>
    <row r="94" spans="22:22" ht="15" customHeight="1" x14ac:dyDescent="0.15">
      <c r="V94" s="229"/>
    </row>
    <row r="95" spans="22:22" ht="15" customHeight="1" x14ac:dyDescent="0.15">
      <c r="V95" s="229"/>
    </row>
    <row r="96" spans="22:22" ht="15" customHeight="1" x14ac:dyDescent="0.15">
      <c r="V96" s="229"/>
    </row>
    <row r="97" spans="22:22" ht="15" customHeight="1" x14ac:dyDescent="0.15">
      <c r="V97" s="229"/>
    </row>
    <row r="98" spans="22:22" ht="15" customHeight="1" x14ac:dyDescent="0.15">
      <c r="V98" s="229"/>
    </row>
    <row r="99" spans="22:22" ht="15" customHeight="1" x14ac:dyDescent="0.15">
      <c r="V99" s="229"/>
    </row>
    <row r="100" spans="22:22" ht="15" customHeight="1" x14ac:dyDescent="0.15">
      <c r="V100" s="229"/>
    </row>
    <row r="101" spans="22:22" ht="15" customHeight="1" x14ac:dyDescent="0.15">
      <c r="V101" s="229"/>
    </row>
    <row r="102" spans="22:22" ht="15" customHeight="1" x14ac:dyDescent="0.15">
      <c r="V102" s="229"/>
    </row>
    <row r="103" spans="22:22" ht="15" customHeight="1" x14ac:dyDescent="0.15">
      <c r="V103" s="229"/>
    </row>
    <row r="104" spans="22:22" ht="15" customHeight="1" x14ac:dyDescent="0.15">
      <c r="V104" s="229"/>
    </row>
    <row r="105" spans="22:22" ht="15" customHeight="1" x14ac:dyDescent="0.15">
      <c r="V105" s="229"/>
    </row>
    <row r="106" spans="22:22" ht="15" customHeight="1" x14ac:dyDescent="0.15">
      <c r="V106" s="229"/>
    </row>
    <row r="107" spans="22:22" ht="15" customHeight="1" x14ac:dyDescent="0.15">
      <c r="V107" s="229"/>
    </row>
    <row r="108" spans="22:22" ht="15" customHeight="1" x14ac:dyDescent="0.15">
      <c r="V108" s="229"/>
    </row>
    <row r="109" spans="22:22" ht="15" customHeight="1" x14ac:dyDescent="0.15">
      <c r="V109" s="229"/>
    </row>
    <row r="110" spans="22:22" ht="15" customHeight="1" x14ac:dyDescent="0.15">
      <c r="V110" s="229"/>
    </row>
    <row r="111" spans="22:22" ht="15" customHeight="1" x14ac:dyDescent="0.15">
      <c r="V111" s="229"/>
    </row>
    <row r="112" spans="22:22" ht="15" customHeight="1" x14ac:dyDescent="0.15">
      <c r="V112" s="229"/>
    </row>
    <row r="113" spans="22:22" ht="15" customHeight="1" x14ac:dyDescent="0.15">
      <c r="V113" s="229"/>
    </row>
    <row r="114" spans="22:22" ht="15" customHeight="1" x14ac:dyDescent="0.15">
      <c r="V114" s="229"/>
    </row>
    <row r="115" spans="22:22" ht="15" customHeight="1" x14ac:dyDescent="0.15">
      <c r="V115" s="229"/>
    </row>
    <row r="116" spans="22:22" ht="15" customHeight="1" x14ac:dyDescent="0.15">
      <c r="V116" s="229"/>
    </row>
    <row r="117" spans="22:22" ht="15" customHeight="1" x14ac:dyDescent="0.15">
      <c r="V117" s="229"/>
    </row>
    <row r="118" spans="22:22" ht="15" customHeight="1" x14ac:dyDescent="0.15">
      <c r="V118" s="229"/>
    </row>
    <row r="119" spans="22:22" ht="15" customHeight="1" x14ac:dyDescent="0.15">
      <c r="V119" s="229"/>
    </row>
    <row r="120" spans="22:22" ht="15" customHeight="1" x14ac:dyDescent="0.15">
      <c r="V120" s="229"/>
    </row>
    <row r="122" spans="22:22" ht="15" customHeight="1" x14ac:dyDescent="0.15">
      <c r="V122" s="229"/>
    </row>
    <row r="123" spans="22:22" ht="15" customHeight="1" x14ac:dyDescent="0.15">
      <c r="V123" s="229"/>
    </row>
    <row r="124" spans="22:22" ht="15" customHeight="1" x14ac:dyDescent="0.15">
      <c r="V124" s="229"/>
    </row>
    <row r="125" spans="22:22" ht="15" customHeight="1" x14ac:dyDescent="0.15">
      <c r="V125" s="229"/>
    </row>
    <row r="126" spans="22:22" ht="15" customHeight="1" x14ac:dyDescent="0.15">
      <c r="V126" s="229"/>
    </row>
    <row r="127" spans="22:22" ht="15" customHeight="1" x14ac:dyDescent="0.15">
      <c r="V127" s="229"/>
    </row>
    <row r="128" spans="22:22" ht="15" customHeight="1" x14ac:dyDescent="0.15">
      <c r="V128" s="229"/>
    </row>
    <row r="129" spans="22:22" ht="15" customHeight="1" x14ac:dyDescent="0.15">
      <c r="V129" s="229"/>
    </row>
    <row r="130" spans="22:22" ht="15" customHeight="1" x14ac:dyDescent="0.15">
      <c r="V130" s="229"/>
    </row>
    <row r="131" spans="22:22" ht="15" customHeight="1" x14ac:dyDescent="0.15">
      <c r="V131" s="229"/>
    </row>
    <row r="132" spans="22:22" ht="15" customHeight="1" x14ac:dyDescent="0.15">
      <c r="V132" s="229"/>
    </row>
    <row r="133" spans="22:22" ht="15" customHeight="1" x14ac:dyDescent="0.15">
      <c r="V133" s="229"/>
    </row>
    <row r="134" spans="22:22" ht="15" customHeight="1" x14ac:dyDescent="0.15">
      <c r="V134" s="229"/>
    </row>
    <row r="135" spans="22:22" ht="15" customHeight="1" x14ac:dyDescent="0.15">
      <c r="V135" s="229"/>
    </row>
    <row r="136" spans="22:22" ht="15" customHeight="1" x14ac:dyDescent="0.15">
      <c r="V136" s="229"/>
    </row>
    <row r="137" spans="22:22" ht="15" customHeight="1" x14ac:dyDescent="0.15">
      <c r="V137" s="229"/>
    </row>
    <row r="138" spans="22:22" ht="15" customHeight="1" x14ac:dyDescent="0.15">
      <c r="V138" s="229"/>
    </row>
    <row r="139" spans="22:22" ht="15" customHeight="1" x14ac:dyDescent="0.15">
      <c r="V139" s="229"/>
    </row>
    <row r="140" spans="22:22" ht="15" customHeight="1" x14ac:dyDescent="0.15">
      <c r="V140" s="229"/>
    </row>
    <row r="141" spans="22:22" ht="15" customHeight="1" x14ac:dyDescent="0.15">
      <c r="V141" s="229"/>
    </row>
    <row r="142" spans="22:22" ht="15" customHeight="1" x14ac:dyDescent="0.15">
      <c r="V142" s="229"/>
    </row>
    <row r="143" spans="22:22" ht="15" customHeight="1" x14ac:dyDescent="0.15">
      <c r="V143" s="229"/>
    </row>
    <row r="144" spans="22:22" ht="15" customHeight="1" x14ac:dyDescent="0.15">
      <c r="V144" s="229"/>
    </row>
    <row r="145" spans="22:22" ht="15" customHeight="1" x14ac:dyDescent="0.15">
      <c r="V145" s="229"/>
    </row>
    <row r="146" spans="22:22" ht="15" customHeight="1" x14ac:dyDescent="0.15">
      <c r="V146" s="229"/>
    </row>
    <row r="147" spans="22:22" ht="15" customHeight="1" x14ac:dyDescent="0.15">
      <c r="V147" s="229"/>
    </row>
    <row r="148" spans="22:22" ht="15" customHeight="1" x14ac:dyDescent="0.15">
      <c r="V148" s="229"/>
    </row>
    <row r="149" spans="22:22" ht="15" customHeight="1" x14ac:dyDescent="0.15">
      <c r="V149" s="229"/>
    </row>
    <row r="150" spans="22:22" ht="15" customHeight="1" x14ac:dyDescent="0.15">
      <c r="V150" s="229"/>
    </row>
    <row r="151" spans="22:22" ht="15" customHeight="1" x14ac:dyDescent="0.15">
      <c r="V151" s="229"/>
    </row>
    <row r="152" spans="22:22" ht="15" customHeight="1" x14ac:dyDescent="0.15">
      <c r="V152" s="229"/>
    </row>
    <row r="153" spans="22:22" ht="15" customHeight="1" x14ac:dyDescent="0.15">
      <c r="V153" s="229"/>
    </row>
    <row r="154" spans="22:22" ht="15" customHeight="1" x14ac:dyDescent="0.15">
      <c r="V154" s="229"/>
    </row>
    <row r="155" spans="22:22" ht="15" customHeight="1" x14ac:dyDescent="0.15">
      <c r="V155" s="229"/>
    </row>
    <row r="156" spans="22:22" ht="15" customHeight="1" x14ac:dyDescent="0.15">
      <c r="V156" s="229"/>
    </row>
    <row r="157" spans="22:22" ht="15" customHeight="1" x14ac:dyDescent="0.15">
      <c r="V157" s="229"/>
    </row>
    <row r="158" spans="22:22" ht="15" customHeight="1" x14ac:dyDescent="0.15">
      <c r="V158" s="229"/>
    </row>
    <row r="159" spans="22:22" ht="15" customHeight="1" x14ac:dyDescent="0.15">
      <c r="V159" s="229"/>
    </row>
  </sheetData>
  <protectedRanges>
    <protectedRange sqref="Q7 S7 D12:D14 P10:P11 P36:P47 E36:F46 K36:K46 P34 I30 I31:J32 P14:P32 I34:K34 J4:K7 J8:L8 K13:K32 E13:I14 G15:I26 J13:J30 E15:F32" name="Estimating" securityDescriptor="O:WDG:WDD:(A;;CC;;;S-1-5-21-1993962763-879983540-839522115-1221)"/>
    <protectedRange sqref="E2:F2 D2:D6 E8:I8 O7:P7 E4:F7 H2:I7" name="Estimating_1" securityDescriptor="O:WDG:WDD:(A;;CC;;;S-1-5-21-1993962763-879983540-839522115-1221)"/>
    <protectedRange sqref="F9" name="Estimating_1_1" securityDescriptor="O:WDG:WDD:(A;;CC;;;S-1-5-21-1993962763-879983540-839522115-1221)"/>
    <protectedRange sqref="H49:H54 D49:D53 L54:P54" name="Full" securityDescriptor="O:WDG:WDD:(A;;CC;;;S-1-5-21-1993962763-879983540-839522115-1156)"/>
    <protectedRange sqref="D54:E54" name="Full_2" securityDescriptor="O:WDG:WDD:(A;;CC;;;S-1-5-21-1993962763-879983540-839522115-1156)"/>
    <protectedRange sqref="E3:F3" name="Estimating_1_3_2" securityDescriptor="O:WDG:WDD:(A;;CC;;;S-1-5-21-1993962763-879983540-839522115-1221)"/>
  </protectedRanges>
  <mergeCells count="8">
    <mergeCell ref="D1:E1"/>
    <mergeCell ref="D35:I35"/>
    <mergeCell ref="E3:F3"/>
    <mergeCell ref="I3:K3"/>
    <mergeCell ref="E5:F5"/>
    <mergeCell ref="I5:K5"/>
    <mergeCell ref="E7:F7"/>
    <mergeCell ref="I7:K7"/>
  </mergeCells>
  <conditionalFormatting sqref="D9">
    <cfRule type="expression" dxfId="48" priority="481">
      <formula>D9="CURRENCY"</formula>
    </cfRule>
    <cfRule type="containsText" dxfId="47" priority="480" operator="containsText" text="SELECT">
      <formula>NOT(ISERROR(SEARCH("SELECT",D9)))</formula>
    </cfRule>
  </conditionalFormatting>
  <conditionalFormatting sqref="D14:D32">
    <cfRule type="expression" dxfId="46" priority="22">
      <formula>$K14&gt;0</formula>
    </cfRule>
  </conditionalFormatting>
  <conditionalFormatting sqref="D36:D46">
    <cfRule type="expression" dxfId="45" priority="21">
      <formula>$E36&gt;0</formula>
    </cfRule>
  </conditionalFormatting>
  <conditionalFormatting sqref="E36:E37 E39:E46">
    <cfRule type="cellIs" dxfId="44" priority="570" operator="lessThan">
      <formula>1</formula>
    </cfRule>
  </conditionalFormatting>
  <conditionalFormatting sqref="E38">
    <cfRule type="cellIs" dxfId="43" priority="402" operator="lessThan">
      <formula>1</formula>
    </cfRule>
  </conditionalFormatting>
  <conditionalFormatting sqref="E9:F9">
    <cfRule type="cellIs" dxfId="42" priority="419" operator="greaterThan">
      <formula>0</formula>
    </cfRule>
    <cfRule type="cellIs" dxfId="41" priority="418" operator="lessThan">
      <formula>0</formula>
    </cfRule>
  </conditionalFormatting>
  <conditionalFormatting sqref="G12">
    <cfRule type="cellIs" dxfId="40" priority="588" operator="greaterThan">
      <formula>2000</formula>
    </cfRule>
    <cfRule type="expression" dxfId="39" priority="587">
      <formula>ISNUMBER(SEARCH("I-MUAP",$F$14))</formula>
    </cfRule>
    <cfRule type="expression" dxfId="38" priority="586">
      <formula>AND((ISNUMBER(SEARCH("I-MUAP",$F$14))),G12&lt;2500)</formula>
    </cfRule>
  </conditionalFormatting>
  <conditionalFormatting sqref="G12:H12">
    <cfRule type="cellIs" dxfId="37" priority="581" operator="lessThan">
      <formula>1000</formula>
    </cfRule>
  </conditionalFormatting>
  <conditionalFormatting sqref="G14:H26">
    <cfRule type="cellIs" dxfId="36" priority="5" operator="lessThan">
      <formula>1000</formula>
    </cfRule>
  </conditionalFormatting>
  <conditionalFormatting sqref="H12">
    <cfRule type="cellIs" dxfId="35" priority="582" operator="greaterThan">
      <formula>3001</formula>
    </cfRule>
  </conditionalFormatting>
  <conditionalFormatting sqref="I11">
    <cfRule type="expression" dxfId="34" priority="584">
      <formula>((H14-50)/J14)&lt;950</formula>
    </cfRule>
  </conditionalFormatting>
  <conditionalFormatting sqref="I12">
    <cfRule type="expression" dxfId="33" priority="583">
      <formula>((H14-50)/J14)&lt;950</formula>
    </cfRule>
  </conditionalFormatting>
  <conditionalFormatting sqref="I14:I26">
    <cfRule type="cellIs" dxfId="32" priority="7" operator="lessThan">
      <formula>400</formula>
    </cfRule>
  </conditionalFormatting>
  <conditionalFormatting sqref="I33">
    <cfRule type="expression" dxfId="31" priority="652">
      <formula>((#REF!-50)/#REF!)&lt;950</formula>
    </cfRule>
  </conditionalFormatting>
  <conditionalFormatting sqref="K14:K30">
    <cfRule type="cellIs" dxfId="30" priority="32" operator="greaterThan">
      <formula>0</formula>
    </cfRule>
  </conditionalFormatting>
  <conditionalFormatting sqref="K36:K46">
    <cfRule type="expression" dxfId="29" priority="389">
      <formula>E36&gt;0</formula>
    </cfRule>
  </conditionalFormatting>
  <conditionalFormatting sqref="K48:K54">
    <cfRule type="expression" dxfId="28" priority="394">
      <formula>#REF!="EURO"</formula>
    </cfRule>
  </conditionalFormatting>
  <conditionalFormatting sqref="L14:L32">
    <cfRule type="cellIs" dxfId="27" priority="1" operator="greaterThan">
      <formula>0</formula>
    </cfRule>
  </conditionalFormatting>
  <conditionalFormatting sqref="L36:L46">
    <cfRule type="cellIs" dxfId="26" priority="400" operator="greaterThan">
      <formula>0</formula>
    </cfRule>
  </conditionalFormatting>
  <conditionalFormatting sqref="L48:L54">
    <cfRule type="expression" dxfId="25" priority="390">
      <formula>$D$9="PLN"</formula>
    </cfRule>
    <cfRule type="expression" dxfId="24" priority="391">
      <formula>$D$9="CZK"</formula>
    </cfRule>
    <cfRule type="expression" dxfId="23" priority="392">
      <formula>$D$9="USD"</formula>
    </cfRule>
    <cfRule type="expression" dxfId="22" priority="393">
      <formula>$D$9="EURO"</formula>
    </cfRule>
  </conditionalFormatting>
  <conditionalFormatting sqref="M14:M32">
    <cfRule type="expression" dxfId="21" priority="26">
      <formula>$E$9&lt;0</formula>
    </cfRule>
    <cfRule type="expression" dxfId="20" priority="27">
      <formula>$E$9&gt;0</formula>
    </cfRule>
  </conditionalFormatting>
  <conditionalFormatting sqref="M36:M46">
    <cfRule type="expression" dxfId="19" priority="25">
      <formula>$E$9&gt;0</formula>
    </cfRule>
    <cfRule type="expression" dxfId="18" priority="24">
      <formula>$E$9&lt;0</formula>
    </cfRule>
  </conditionalFormatting>
  <conditionalFormatting sqref="O9 O12">
    <cfRule type="expression" dxfId="17" priority="646">
      <formula>$D$9="PLN"</formula>
    </cfRule>
    <cfRule type="expression" dxfId="16" priority="647">
      <formula>$D$9="CZK"</formula>
    </cfRule>
    <cfRule type="expression" dxfId="15" priority="648">
      <formula>$D$9="USD"</formula>
    </cfRule>
    <cfRule type="expression" dxfId="14" priority="649">
      <formula>$D$9="EURO"</formula>
    </cfRule>
  </conditionalFormatting>
  <conditionalFormatting sqref="O14:O32">
    <cfRule type="expression" dxfId="13" priority="66">
      <formula>$D$9="EURO"</formula>
    </cfRule>
    <cfRule type="expression" dxfId="12" priority="65">
      <formula>$D$9="USD"</formula>
    </cfRule>
    <cfRule type="expression" dxfId="11" priority="64">
      <formula>$D$9="CZK"</formula>
    </cfRule>
    <cfRule type="expression" dxfId="10" priority="63">
      <formula>$D$9="PLN"</formula>
    </cfRule>
  </conditionalFormatting>
  <conditionalFormatting sqref="O18:O20">
    <cfRule type="cellIs" dxfId="9" priority="102" operator="greaterThan">
      <formula>0</formula>
    </cfRule>
  </conditionalFormatting>
  <conditionalFormatting sqref="O35:O46">
    <cfRule type="expression" dxfId="8" priority="15">
      <formula>$D$9="EURO"</formula>
    </cfRule>
    <cfRule type="expression" dxfId="7" priority="14">
      <formula>$D$9="USD"</formula>
    </cfRule>
    <cfRule type="expression" dxfId="6" priority="13">
      <formula>$D$9="CZK"</formula>
    </cfRule>
    <cfRule type="expression" dxfId="5" priority="12">
      <formula>$D$9="PLN"</formula>
    </cfRule>
  </conditionalFormatting>
  <conditionalFormatting sqref="O14:P32">
    <cfRule type="cellIs" dxfId="4" priority="62" operator="greaterThan">
      <formula>0</formula>
    </cfRule>
  </conditionalFormatting>
  <conditionalFormatting sqref="O36:P46">
    <cfRule type="cellIs" dxfId="3" priority="11" operator="greaterThan">
      <formula>0</formula>
    </cfRule>
  </conditionalFormatting>
  <conditionalFormatting sqref="P14:P20">
    <cfRule type="cellIs" dxfId="2" priority="108" operator="greaterThan">
      <formula>0</formula>
    </cfRule>
  </conditionalFormatting>
  <dataValidations count="3">
    <dataValidation type="list" allowBlank="1" showInputMessage="1" showErrorMessage="1" sqref="F14:F32" xr:uid="{00000000-0002-0000-1100-000000000000}">
      <formula1>"0,1,2,3,4,5,6,7,8,9,10,11,12,13,14,15,16,17,18,19,20"</formula1>
    </dataValidation>
    <dataValidation operator="greaterThan" allowBlank="1" showInputMessage="1" showErrorMessage="1" sqref="G14:G26" xr:uid="{00000000-0002-0000-1100-000001000000}"/>
    <dataValidation type="list" allowBlank="1" showInputMessage="1" showErrorMessage="1" sqref="I34" xr:uid="{00000000-0002-0000-1100-000002000000}">
      <formula1>#REF!</formula1>
    </dataValidation>
  </dataValidations>
  <printOptions horizontalCentered="1"/>
  <pageMargins left="0.19685039370078741" right="0.19685039370078741" top="0.19685039370078741" bottom="0.19685039370078741" header="0.11811023622047245" footer="0.15748031496062992"/>
  <pageSetup paperSize="9" scale="59" orientation="landscape" r:id="rId1"/>
  <headerFooter alignWithMargins="0">
    <oddFooter>&amp;Z&amp;F</oddFooter>
  </headerFooter>
  <ignoredErrors>
    <ignoredError sqref="M9 M12 M35"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3000000}">
          <x14:formula1>
            <xm:f>'Base Costs'!$A$32:$A$37</xm:f>
          </x14:formula1>
          <xm:sqref>D9</xm:sqref>
        </x14:dataValidation>
        <x14:dataValidation type="list" allowBlank="1" showInputMessage="1" showErrorMessage="1" xr:uid="{00000000-0002-0000-1100-000004000000}">
          <x14:formula1>
            <xm:f>'Base Costs'!$E$4:$E$213</xm:f>
          </x14:formula1>
          <xm:sqref>F36</xm:sqref>
        </x14:dataValidation>
        <x14:dataValidation type="list" allowBlank="1" showInputMessage="1" showErrorMessage="1" xr:uid="{00000000-0002-0000-1100-000005000000}">
          <x14:formula1>
            <xm:f>'Base Costs'!$A$4:$A$16</xm:f>
          </x14:formula1>
          <xm:sqref>F37:F38</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rgb="FFFF0000"/>
  </sheetPr>
  <dimension ref="A1:BS207"/>
  <sheetViews>
    <sheetView zoomScale="70" zoomScaleNormal="70" workbookViewId="0">
      <selection activeCell="J52" sqref="J52"/>
    </sheetView>
  </sheetViews>
  <sheetFormatPr baseColWidth="10" defaultColWidth="8.83203125" defaultRowHeight="14.5" customHeight="1" x14ac:dyDescent="0.15"/>
  <cols>
    <col min="1" max="1" width="31.83203125" style="393" customWidth="1"/>
    <col min="2" max="3" width="12" style="394" customWidth="1"/>
    <col min="4" max="4" width="9.83203125" style="393" customWidth="1"/>
    <col min="5" max="5" width="27" style="393" customWidth="1"/>
    <col min="6" max="6" width="14.6640625" style="393" customWidth="1"/>
    <col min="7" max="7" width="10.5" style="595" bestFit="1" customWidth="1"/>
    <col min="8" max="8" width="3.5" style="394" customWidth="1"/>
    <col min="9" max="9" width="26.83203125" style="393" bestFit="1" customWidth="1"/>
    <col min="10" max="10" width="10.83203125" style="394" bestFit="1" customWidth="1"/>
    <col min="11" max="11" width="11.33203125" style="394" bestFit="1" customWidth="1"/>
    <col min="12" max="12" width="6.6640625" style="393" customWidth="1"/>
    <col min="13" max="13" width="21.5" style="393" customWidth="1"/>
    <col min="14" max="15" width="10.6640625" style="394" customWidth="1"/>
    <col min="16" max="16" width="7.33203125" style="393" customWidth="1"/>
    <col min="17" max="17" width="25.83203125" style="393" customWidth="1"/>
    <col min="18" max="18" width="10.5" style="394" customWidth="1"/>
    <col min="19" max="19" width="11.5" style="393" customWidth="1"/>
    <col min="20" max="20" width="16.5" style="393" customWidth="1"/>
    <col min="21" max="21" width="19.6640625" style="393" bestFit="1" customWidth="1"/>
    <col min="22" max="22" width="12" style="394" customWidth="1"/>
    <col min="23" max="23" width="11" style="394" bestFit="1" customWidth="1"/>
    <col min="24" max="24" width="9.6640625" style="393" customWidth="1"/>
    <col min="25" max="25" width="19.5" style="393" bestFit="1" customWidth="1"/>
    <col min="26" max="26" width="19.5" style="393" customWidth="1"/>
    <col min="27" max="28" width="15.33203125" style="393" customWidth="1"/>
    <col min="29" max="29" width="7.1640625" style="395" bestFit="1" customWidth="1"/>
    <col min="30" max="30" width="9.5" style="393" bestFit="1" customWidth="1"/>
    <col min="31" max="31" width="10.5" style="395" bestFit="1" customWidth="1"/>
    <col min="32" max="32" width="11" style="396" customWidth="1"/>
    <col min="33" max="35" width="8.83203125" style="411"/>
    <col min="36" max="36" width="7.33203125" style="411" customWidth="1"/>
    <col min="37" max="37" width="25.83203125" style="393" bestFit="1" customWidth="1"/>
    <col min="38" max="38" width="71.5" style="393" bestFit="1" customWidth="1"/>
    <col min="39" max="39" width="12.5" style="393" customWidth="1"/>
    <col min="40" max="40" width="10.5" style="600" bestFit="1" customWidth="1"/>
    <col min="41" max="41" width="11.5" style="600" customWidth="1"/>
    <col min="42" max="42" width="22.5" style="393" bestFit="1" customWidth="1"/>
    <col min="43" max="43" width="13.83203125" style="394" hidden="1" customWidth="1"/>
    <col min="44" max="45" width="12.83203125" style="394" customWidth="1"/>
    <col min="46" max="46" width="9.5" style="393" customWidth="1"/>
    <col min="47" max="47" width="23.33203125" style="393" bestFit="1" customWidth="1"/>
    <col min="48" max="48" width="7.6640625" style="393" bestFit="1" customWidth="1"/>
    <col min="49" max="49" width="23.6640625" style="393" bestFit="1" customWidth="1"/>
    <col min="50" max="50" width="11.33203125" style="394" bestFit="1" customWidth="1"/>
    <col min="51" max="51" width="11.33203125" style="600" bestFit="1" customWidth="1"/>
    <col min="52" max="52" width="12.83203125" style="393" customWidth="1"/>
    <col min="53" max="53" width="8.83203125" style="393"/>
    <col min="54" max="54" width="12.33203125" style="593" customWidth="1"/>
    <col min="55" max="55" width="10.5" style="593" bestFit="1" customWidth="1"/>
    <col min="56" max="56" width="34.1640625" style="393" bestFit="1" customWidth="1"/>
    <col min="57" max="63" width="8.83203125" style="393"/>
    <col min="64" max="64" width="10.5" style="393" customWidth="1"/>
    <col min="65" max="67" width="8.83203125" style="393"/>
    <col min="68" max="68" width="9.6640625" style="393" bestFit="1" customWidth="1"/>
    <col min="69" max="16384" width="8.83203125" style="393"/>
  </cols>
  <sheetData>
    <row r="1" spans="1:71" ht="14.5" customHeight="1" x14ac:dyDescent="0.15">
      <c r="A1" s="1187" t="s">
        <v>1440</v>
      </c>
      <c r="B1" s="1188"/>
      <c r="C1" s="1189"/>
      <c r="Y1" s="1063"/>
      <c r="AA1" s="591"/>
      <c r="AB1" s="591"/>
      <c r="AC1" s="405" t="s">
        <v>246</v>
      </c>
      <c r="AD1" s="452">
        <v>0.1</v>
      </c>
      <c r="AE1" s="405"/>
      <c r="AF1" s="393"/>
      <c r="AG1" s="397"/>
      <c r="AH1" s="397"/>
      <c r="AI1" s="397"/>
      <c r="AJ1" s="397"/>
      <c r="AN1" s="599" t="s">
        <v>713</v>
      </c>
      <c r="AO1" s="599"/>
    </row>
    <row r="2" spans="1:71" ht="14.5" customHeight="1" x14ac:dyDescent="0.15">
      <c r="A2" s="1190"/>
      <c r="B2" s="1190"/>
      <c r="C2" s="1190"/>
      <c r="Y2" s="1063"/>
      <c r="AA2" s="591"/>
      <c r="AB2" s="591"/>
      <c r="AC2" s="405"/>
      <c r="AD2" s="452"/>
      <c r="AE2" s="405"/>
      <c r="AF2" s="393"/>
      <c r="AG2" s="397"/>
      <c r="AH2" s="397"/>
      <c r="AI2" s="397"/>
      <c r="AJ2" s="397"/>
      <c r="AN2" s="599"/>
      <c r="AO2" s="599"/>
    </row>
    <row r="3" spans="1:71" ht="14.5" customHeight="1" x14ac:dyDescent="0.15">
      <c r="B3" s="1056">
        <v>45658</v>
      </c>
      <c r="C3" s="1062">
        <v>45292</v>
      </c>
      <c r="F3" s="1056">
        <v>45658</v>
      </c>
      <c r="G3" s="1062">
        <v>44835</v>
      </c>
      <c r="J3" s="1056">
        <v>45658</v>
      </c>
      <c r="K3" s="1062">
        <v>45292</v>
      </c>
      <c r="N3" s="1056">
        <v>45658</v>
      </c>
      <c r="O3" s="1062">
        <v>45149</v>
      </c>
      <c r="R3" s="1056">
        <v>45658</v>
      </c>
      <c r="S3" s="1061">
        <v>45108</v>
      </c>
      <c r="V3" s="1074">
        <v>45778</v>
      </c>
      <c r="W3" s="1062">
        <v>45658</v>
      </c>
      <c r="AA3" s="1056">
        <v>45658</v>
      </c>
      <c r="AB3" s="1061">
        <v>45108</v>
      </c>
      <c r="AC3" s="393" t="s">
        <v>248</v>
      </c>
      <c r="AD3" s="395">
        <v>0.2</v>
      </c>
      <c r="AG3" s="397"/>
      <c r="AH3" s="397"/>
      <c r="AI3" s="397"/>
      <c r="AJ3" s="397"/>
      <c r="AL3" s="915"/>
      <c r="AM3" s="1056">
        <v>45658</v>
      </c>
      <c r="AN3" s="1062">
        <v>44835</v>
      </c>
      <c r="AQ3" s="398"/>
      <c r="AR3" s="1056">
        <v>45658</v>
      </c>
      <c r="AS3" s="1060">
        <v>45108</v>
      </c>
      <c r="AX3" s="1056">
        <v>45658</v>
      </c>
      <c r="AY3" s="1062">
        <v>44835</v>
      </c>
      <c r="BB3" s="592" t="s">
        <v>732</v>
      </c>
    </row>
    <row r="4" spans="1:71" s="399" customFormat="1" ht="14.5" customHeight="1" x14ac:dyDescent="0.15">
      <c r="A4" s="415" t="s">
        <v>184</v>
      </c>
      <c r="B4" s="415">
        <v>0</v>
      </c>
      <c r="C4" s="415"/>
      <c r="E4" s="415" t="s">
        <v>45</v>
      </c>
      <c r="F4" s="415">
        <v>0</v>
      </c>
      <c r="G4" s="415">
        <v>0</v>
      </c>
      <c r="H4" s="415"/>
      <c r="I4" s="415" t="s">
        <v>78</v>
      </c>
      <c r="J4" s="415">
        <v>0</v>
      </c>
      <c r="K4" s="415"/>
      <c r="M4" s="415" t="s">
        <v>185</v>
      </c>
      <c r="N4" s="415">
        <v>0</v>
      </c>
      <c r="O4" s="415"/>
      <c r="Q4" s="415" t="s">
        <v>338</v>
      </c>
      <c r="R4" s="415">
        <v>0</v>
      </c>
      <c r="S4" s="415">
        <v>0</v>
      </c>
      <c r="U4" s="415" t="s">
        <v>839</v>
      </c>
      <c r="V4" s="415">
        <v>0</v>
      </c>
      <c r="W4" s="415"/>
      <c r="Y4" s="415" t="s">
        <v>105</v>
      </c>
      <c r="Z4" s="419" t="s">
        <v>249</v>
      </c>
      <c r="AA4" s="415">
        <v>0</v>
      </c>
      <c r="AB4" s="415"/>
      <c r="AC4" s="420" t="s">
        <v>247</v>
      </c>
      <c r="AD4" s="419" t="s">
        <v>129</v>
      </c>
      <c r="AE4" s="420" t="s">
        <v>197</v>
      </c>
      <c r="AF4" s="418"/>
      <c r="AG4" s="421" t="s">
        <v>249</v>
      </c>
      <c r="AH4" s="422"/>
      <c r="AI4" s="422"/>
      <c r="AK4" s="415"/>
      <c r="AL4" s="415" t="s">
        <v>122</v>
      </c>
      <c r="AM4" s="415"/>
      <c r="AN4" s="415"/>
      <c r="AO4" s="596"/>
      <c r="AP4" s="415" t="s">
        <v>124</v>
      </c>
      <c r="AQ4" s="415" t="s">
        <v>213</v>
      </c>
      <c r="AR4" s="415" t="s">
        <v>212</v>
      </c>
      <c r="AS4" s="415"/>
      <c r="AU4" s="415" t="s">
        <v>125</v>
      </c>
      <c r="AV4" s="415"/>
      <c r="AW4" s="415"/>
      <c r="AX4" s="415"/>
      <c r="AY4" s="1064"/>
      <c r="BB4" s="594" t="s">
        <v>731</v>
      </c>
      <c r="BC4" s="594" t="s">
        <v>537</v>
      </c>
      <c r="BD4" s="1067">
        <v>0.06</v>
      </c>
    </row>
    <row r="5" spans="1:71" ht="14.5" customHeight="1" x14ac:dyDescent="0.15">
      <c r="A5" s="393" t="s">
        <v>517</v>
      </c>
      <c r="B5" s="899">
        <v>95.4</v>
      </c>
      <c r="C5" s="597">
        <v>90</v>
      </c>
      <c r="E5" s="912" t="s">
        <v>1101</v>
      </c>
      <c r="F5" s="899">
        <v>1961</v>
      </c>
      <c r="G5" s="597">
        <v>1850</v>
      </c>
      <c r="H5" s="404"/>
      <c r="I5" s="405" t="s">
        <v>706</v>
      </c>
      <c r="J5" s="899">
        <v>1331.3600000000001</v>
      </c>
      <c r="K5" s="597">
        <v>1256</v>
      </c>
      <c r="M5" s="812" t="s">
        <v>1055</v>
      </c>
      <c r="N5" s="899">
        <v>247</v>
      </c>
      <c r="O5" s="597">
        <v>179.21</v>
      </c>
      <c r="Q5" s="405" t="s">
        <v>333</v>
      </c>
      <c r="R5" s="916">
        <v>0</v>
      </c>
      <c r="S5" s="597">
        <v>0</v>
      </c>
      <c r="T5" s="393">
        <f>R5*1.06</f>
        <v>0</v>
      </c>
      <c r="U5" s="405" t="s">
        <v>828</v>
      </c>
      <c r="V5" s="916">
        <v>2144.66</v>
      </c>
      <c r="W5" s="597">
        <v>2092.6</v>
      </c>
      <c r="Y5" s="393" t="s">
        <v>365</v>
      </c>
      <c r="Z5" s="406" t="s">
        <v>257</v>
      </c>
      <c r="AA5" s="916">
        <v>985.10040000000004</v>
      </c>
      <c r="AB5" s="597">
        <v>929.34</v>
      </c>
      <c r="AC5" s="395">
        <v>4</v>
      </c>
      <c r="AD5" s="406" t="s">
        <v>246</v>
      </c>
      <c r="AE5" s="395">
        <v>1</v>
      </c>
      <c r="AF5" s="396">
        <f>IF(AD5="S",AC5*$AD$1*AE5,AC5*$AD$3*AE5)</f>
        <v>0.4</v>
      </c>
      <c r="AG5" s="397" t="str">
        <f t="shared" ref="AG5:AG10" si="0">$AG$4&amp;AH5</f>
        <v>UVR8L</v>
      </c>
      <c r="AH5" s="407" t="s">
        <v>254</v>
      </c>
      <c r="AI5" s="397">
        <v>1.6</v>
      </c>
      <c r="AJ5" s="1057"/>
      <c r="AK5" s="408" t="s">
        <v>60</v>
      </c>
      <c r="AL5" s="809" t="s">
        <v>1298</v>
      </c>
      <c r="AM5" s="916">
        <v>19.027000000000001</v>
      </c>
      <c r="AN5" s="601">
        <v>17.95</v>
      </c>
      <c r="AO5" s="1058"/>
      <c r="AP5" s="423" t="s">
        <v>88</v>
      </c>
      <c r="AQ5" s="417"/>
      <c r="AR5" s="417"/>
      <c r="AS5" s="417"/>
      <c r="AU5" s="423" t="s">
        <v>50</v>
      </c>
      <c r="AV5" s="424" t="s">
        <v>236</v>
      </c>
      <c r="AW5" s="423"/>
      <c r="AX5" s="423"/>
      <c r="AY5" s="1065"/>
      <c r="BB5" s="1068">
        <v>45658</v>
      </c>
      <c r="BC5" s="837"/>
      <c r="BD5" s="619" t="s">
        <v>758</v>
      </c>
    </row>
    <row r="6" spans="1:71" ht="14.5" customHeight="1" x14ac:dyDescent="0.15">
      <c r="A6" s="393" t="s">
        <v>518</v>
      </c>
      <c r="B6" s="899">
        <v>38.467399999999998</v>
      </c>
      <c r="C6" s="597">
        <v>36.29</v>
      </c>
      <c r="E6" s="912" t="s">
        <v>1184</v>
      </c>
      <c r="F6" s="899">
        <v>424</v>
      </c>
      <c r="G6" s="597">
        <v>400</v>
      </c>
      <c r="H6" s="404"/>
      <c r="I6" s="405" t="s">
        <v>812</v>
      </c>
      <c r="J6" s="899">
        <v>1365.28</v>
      </c>
      <c r="K6" s="597">
        <v>1288</v>
      </c>
      <c r="M6" s="812" t="s">
        <v>1056</v>
      </c>
      <c r="N6" s="899">
        <v>297</v>
      </c>
      <c r="O6" s="597">
        <v>215.11</v>
      </c>
      <c r="Q6" s="405" t="s">
        <v>538</v>
      </c>
      <c r="R6" s="916">
        <v>33.018999999999998</v>
      </c>
      <c r="S6" s="597">
        <v>31.15</v>
      </c>
      <c r="T6" s="393">
        <f t="shared" ref="T6:T13" si="1">R6*1.06</f>
        <v>35.000140000000002</v>
      </c>
      <c r="U6" s="405" t="s">
        <v>835</v>
      </c>
      <c r="V6" s="916">
        <v>0</v>
      </c>
      <c r="W6" s="597">
        <v>0</v>
      </c>
      <c r="Y6" s="393" t="s">
        <v>366</v>
      </c>
      <c r="Z6" s="406" t="s">
        <v>258</v>
      </c>
      <c r="AA6" s="916">
        <v>1635.7284000000002</v>
      </c>
      <c r="AB6" s="597">
        <v>1543.14</v>
      </c>
      <c r="AC6" s="395">
        <v>4</v>
      </c>
      <c r="AD6" s="406" t="s">
        <v>246</v>
      </c>
      <c r="AE6" s="395">
        <v>2</v>
      </c>
      <c r="AF6" s="396">
        <f t="shared" ref="AF6:AF16" si="2">IF(AD6="S",AC6*$AD$1*AE6,AC6*$AD$3*AE6)</f>
        <v>0.8</v>
      </c>
      <c r="AG6" s="397" t="str">
        <f t="shared" si="0"/>
        <v>UVR6L</v>
      </c>
      <c r="AH6" s="407" t="s">
        <v>252</v>
      </c>
      <c r="AI6" s="397">
        <v>1.2</v>
      </c>
      <c r="AJ6" s="1057"/>
      <c r="AK6" s="408" t="s">
        <v>61</v>
      </c>
      <c r="AL6" s="809" t="s">
        <v>1299</v>
      </c>
      <c r="AM6" s="916">
        <v>33.994199999999999</v>
      </c>
      <c r="AN6" s="601">
        <v>32.07</v>
      </c>
      <c r="AO6" s="1058"/>
      <c r="AP6" s="405" t="s">
        <v>77</v>
      </c>
      <c r="AQ6" s="394">
        <v>0</v>
      </c>
      <c r="AU6" s="408" t="s">
        <v>463</v>
      </c>
      <c r="AV6" s="410">
        <v>15</v>
      </c>
      <c r="AW6" s="809" t="s">
        <v>910</v>
      </c>
      <c r="AX6" s="917">
        <v>683.56220000000008</v>
      </c>
      <c r="AY6" s="602">
        <v>644.87</v>
      </c>
      <c r="BB6" s="1187" t="s">
        <v>1440</v>
      </c>
      <c r="BC6" s="1188"/>
      <c r="BD6" s="1189"/>
    </row>
    <row r="7" spans="1:71" ht="14.5" customHeight="1" x14ac:dyDescent="0.15">
      <c r="A7" s="393" t="s">
        <v>519</v>
      </c>
      <c r="B7" s="899">
        <v>86.697400000000016</v>
      </c>
      <c r="C7" s="597">
        <v>81.790000000000006</v>
      </c>
      <c r="E7" s="912" t="s">
        <v>1185</v>
      </c>
      <c r="F7" s="899">
        <v>424</v>
      </c>
      <c r="G7" s="597">
        <v>400</v>
      </c>
      <c r="H7" s="404"/>
      <c r="I7" s="405" t="s">
        <v>813</v>
      </c>
      <c r="J7" s="899">
        <v>1565.6200000000001</v>
      </c>
      <c r="K7" s="597">
        <v>1477</v>
      </c>
      <c r="M7" s="812" t="s">
        <v>1057</v>
      </c>
      <c r="N7" s="899">
        <v>384</v>
      </c>
      <c r="O7" s="597">
        <v>278.10000000000002</v>
      </c>
      <c r="Q7" s="405" t="s">
        <v>587</v>
      </c>
      <c r="R7" s="916">
        <v>84.800000000000011</v>
      </c>
      <c r="S7" s="597">
        <v>80</v>
      </c>
      <c r="T7" s="393">
        <f t="shared" si="1"/>
        <v>89.888000000000019</v>
      </c>
      <c r="U7" s="405" t="s">
        <v>834</v>
      </c>
      <c r="V7" s="916">
        <v>2144.66</v>
      </c>
      <c r="W7" s="597">
        <v>2092.6</v>
      </c>
      <c r="Y7" s="393" t="s">
        <v>367</v>
      </c>
      <c r="Z7" s="406" t="s">
        <v>259</v>
      </c>
      <c r="AA7" s="916">
        <v>2286.3245999999999</v>
      </c>
      <c r="AB7" s="597">
        <v>2156.91</v>
      </c>
      <c r="AC7" s="395">
        <v>4</v>
      </c>
      <c r="AD7" s="406" t="s">
        <v>246</v>
      </c>
      <c r="AE7" s="395">
        <v>3</v>
      </c>
      <c r="AF7" s="396">
        <f t="shared" si="2"/>
        <v>1.2000000000000002</v>
      </c>
      <c r="AG7" s="397" t="str">
        <f t="shared" si="0"/>
        <v>UVR4L</v>
      </c>
      <c r="AH7" s="407" t="s">
        <v>250</v>
      </c>
      <c r="AI7" s="397">
        <v>0.8</v>
      </c>
      <c r="AJ7" s="1057"/>
      <c r="AK7" s="408" t="s">
        <v>25</v>
      </c>
      <c r="AL7" s="408" t="s">
        <v>436</v>
      </c>
      <c r="AM7" s="916">
        <v>8.9782000000000011</v>
      </c>
      <c r="AN7" s="601">
        <v>8.4700000000000006</v>
      </c>
      <c r="AO7" s="1058"/>
      <c r="AP7" s="405" t="s">
        <v>628</v>
      </c>
      <c r="AQ7" s="394">
        <f>(POLLUSTOP!$G$39*0.94)+AR7</f>
        <v>868.1400000000001</v>
      </c>
      <c r="AR7" s="923">
        <v>868.1400000000001</v>
      </c>
      <c r="AS7" s="595">
        <v>819</v>
      </c>
      <c r="AU7" s="408" t="s">
        <v>463</v>
      </c>
      <c r="AV7" s="410">
        <v>15</v>
      </c>
      <c r="AW7" s="809" t="s">
        <v>911</v>
      </c>
      <c r="AX7" s="917">
        <v>858.30320000000006</v>
      </c>
      <c r="AY7" s="602">
        <v>809.72</v>
      </c>
      <c r="BB7" s="838" t="s">
        <v>944</v>
      </c>
    </row>
    <row r="8" spans="1:71" ht="14.5" customHeight="1" x14ac:dyDescent="0.15">
      <c r="A8" s="405" t="s">
        <v>715</v>
      </c>
      <c r="B8" s="899">
        <v>132.5</v>
      </c>
      <c r="C8" s="597">
        <v>125</v>
      </c>
      <c r="E8" s="912" t="s">
        <v>1186</v>
      </c>
      <c r="F8" s="899">
        <v>424</v>
      </c>
      <c r="G8" s="597">
        <v>400</v>
      </c>
      <c r="H8" s="404"/>
      <c r="I8" s="405" t="s">
        <v>814</v>
      </c>
      <c r="J8" s="899">
        <v>2280.06</v>
      </c>
      <c r="K8" s="597">
        <v>2151</v>
      </c>
      <c r="M8" s="405" t="s">
        <v>1046</v>
      </c>
      <c r="N8" s="899">
        <v>111.30000000000001</v>
      </c>
      <c r="O8" s="597">
        <v>105</v>
      </c>
      <c r="Q8" s="405" t="s">
        <v>334</v>
      </c>
      <c r="R8" s="916">
        <v>0</v>
      </c>
      <c r="S8" s="597">
        <v>0</v>
      </c>
      <c r="T8" s="393">
        <f t="shared" si="1"/>
        <v>0</v>
      </c>
      <c r="U8" s="405" t="s">
        <v>836</v>
      </c>
      <c r="V8" s="916">
        <v>0</v>
      </c>
      <c r="W8" s="597">
        <v>0</v>
      </c>
      <c r="Y8" s="393" t="s">
        <v>368</v>
      </c>
      <c r="Z8" s="406" t="s">
        <v>260</v>
      </c>
      <c r="AA8" s="916">
        <v>2936.9207999999999</v>
      </c>
      <c r="AB8" s="597">
        <v>2770.68</v>
      </c>
      <c r="AC8" s="395">
        <v>4</v>
      </c>
      <c r="AD8" s="406" t="s">
        <v>246</v>
      </c>
      <c r="AE8" s="395">
        <v>4</v>
      </c>
      <c r="AF8" s="396">
        <f t="shared" si="2"/>
        <v>1.6</v>
      </c>
      <c r="AG8" s="397" t="str">
        <f t="shared" si="0"/>
        <v>UVR8S</v>
      </c>
      <c r="AH8" s="407" t="s">
        <v>253</v>
      </c>
      <c r="AI8" s="397">
        <v>0.8</v>
      </c>
      <c r="AJ8" s="1057"/>
      <c r="AK8" s="408" t="s">
        <v>62</v>
      </c>
      <c r="AL8" s="809" t="s">
        <v>1300</v>
      </c>
      <c r="AM8" s="916">
        <v>162.57220000000001</v>
      </c>
      <c r="AN8" s="601">
        <v>153.37</v>
      </c>
      <c r="AO8" s="1058"/>
      <c r="AP8" s="405" t="s">
        <v>629</v>
      </c>
      <c r="AQ8" s="394">
        <f>AR8+(POLLUSTOP!$G$40*0.94)</f>
        <v>2987.24</v>
      </c>
      <c r="AR8" s="923">
        <v>1111.94</v>
      </c>
      <c r="AS8" s="595">
        <v>1049</v>
      </c>
      <c r="AU8" s="408" t="s">
        <v>464</v>
      </c>
      <c r="AV8" s="410">
        <v>12</v>
      </c>
      <c r="AW8" s="408" t="s">
        <v>477</v>
      </c>
      <c r="AX8" s="917">
        <v>514.32259999999997</v>
      </c>
      <c r="AY8" s="602">
        <v>485.21</v>
      </c>
    </row>
    <row r="9" spans="1:71" ht="14.5" customHeight="1" x14ac:dyDescent="0.15">
      <c r="A9" s="393" t="s">
        <v>520</v>
      </c>
      <c r="B9" s="899">
        <v>275.60000000000002</v>
      </c>
      <c r="C9" s="597">
        <v>260</v>
      </c>
      <c r="E9" s="912" t="s">
        <v>1187</v>
      </c>
      <c r="F9" s="899">
        <v>1203.1000000000001</v>
      </c>
      <c r="G9" s="597">
        <v>1135</v>
      </c>
      <c r="H9" s="404"/>
      <c r="I9" s="405" t="s">
        <v>815</v>
      </c>
      <c r="J9" s="899">
        <v>2629.86</v>
      </c>
      <c r="K9" s="597">
        <v>2481</v>
      </c>
      <c r="M9" s="405" t="s">
        <v>1047</v>
      </c>
      <c r="N9" s="899">
        <v>121.9</v>
      </c>
      <c r="O9" s="597">
        <v>115</v>
      </c>
      <c r="Q9" s="812" t="s">
        <v>86</v>
      </c>
      <c r="R9" s="916">
        <v>46.258400000000002</v>
      </c>
      <c r="S9" s="597">
        <v>43.64</v>
      </c>
      <c r="T9" s="393">
        <f t="shared" si="1"/>
        <v>49.033904000000007</v>
      </c>
      <c r="U9" s="405" t="s">
        <v>837</v>
      </c>
      <c r="V9" s="916">
        <v>0</v>
      </c>
      <c r="W9" s="597">
        <v>0</v>
      </c>
      <c r="Y9" s="393" t="s">
        <v>369</v>
      </c>
      <c r="Z9" s="406" t="s">
        <v>261</v>
      </c>
      <c r="AA9" s="916">
        <v>3587.5169999999998</v>
      </c>
      <c r="AB9" s="597">
        <v>3384.45</v>
      </c>
      <c r="AC9" s="395">
        <v>4</v>
      </c>
      <c r="AD9" s="406" t="s">
        <v>246</v>
      </c>
      <c r="AE9" s="395">
        <v>5</v>
      </c>
      <c r="AF9" s="396">
        <f t="shared" si="2"/>
        <v>2</v>
      </c>
      <c r="AG9" s="397" t="str">
        <f t="shared" si="0"/>
        <v>UVR6S</v>
      </c>
      <c r="AH9" s="407" t="s">
        <v>251</v>
      </c>
      <c r="AI9" s="397">
        <v>0.6</v>
      </c>
      <c r="AJ9" s="1057"/>
      <c r="AK9" s="408" t="s">
        <v>63</v>
      </c>
      <c r="AL9" s="809" t="s">
        <v>1301</v>
      </c>
      <c r="AM9" s="916">
        <v>0</v>
      </c>
      <c r="AN9" s="601">
        <v>0</v>
      </c>
      <c r="AO9" s="1058"/>
      <c r="AP9" s="405" t="s">
        <v>630</v>
      </c>
      <c r="AQ9" s="394">
        <f>AR9+(POLLUSTOP!$G$41*0.94)</f>
        <v>3005.2</v>
      </c>
      <c r="AR9" s="923">
        <v>1303.8</v>
      </c>
      <c r="AS9" s="595">
        <v>1230</v>
      </c>
      <c r="AU9" s="408" t="s">
        <v>464</v>
      </c>
      <c r="AV9" s="410">
        <v>13</v>
      </c>
      <c r="AW9" s="408" t="s">
        <v>478</v>
      </c>
      <c r="AX9" s="917">
        <v>660.80399999999997</v>
      </c>
      <c r="AY9" s="602">
        <v>623.4</v>
      </c>
    </row>
    <row r="10" spans="1:71" ht="14.5" customHeight="1" x14ac:dyDescent="0.15">
      <c r="A10" s="393" t="s">
        <v>521</v>
      </c>
      <c r="B10" s="899">
        <v>86.697400000000016</v>
      </c>
      <c r="C10" s="597">
        <v>81.790000000000006</v>
      </c>
      <c r="E10" s="912" t="s">
        <v>1126</v>
      </c>
      <c r="F10" s="899">
        <v>408.1</v>
      </c>
      <c r="G10" s="597">
        <v>385</v>
      </c>
      <c r="H10" s="404"/>
      <c r="I10" s="405" t="s">
        <v>816</v>
      </c>
      <c r="J10" s="899">
        <v>2799.46</v>
      </c>
      <c r="K10" s="597">
        <v>2641</v>
      </c>
      <c r="N10" s="899"/>
      <c r="O10" s="597"/>
      <c r="Q10" s="393" t="s">
        <v>104</v>
      </c>
      <c r="R10" s="916">
        <v>73.712400000000017</v>
      </c>
      <c r="S10" s="597">
        <v>69.540000000000006</v>
      </c>
      <c r="T10" s="393">
        <f t="shared" si="1"/>
        <v>78.135144000000025</v>
      </c>
      <c r="U10" s="405" t="s">
        <v>838</v>
      </c>
      <c r="V10" s="916">
        <v>0</v>
      </c>
      <c r="W10" s="597">
        <v>0</v>
      </c>
      <c r="Y10" s="393" t="s">
        <v>370</v>
      </c>
      <c r="Z10" s="406" t="s">
        <v>262</v>
      </c>
      <c r="AA10" s="916">
        <v>4238.1131999999998</v>
      </c>
      <c r="AB10" s="597">
        <v>3998.22</v>
      </c>
      <c r="AC10" s="395">
        <v>4</v>
      </c>
      <c r="AD10" s="406" t="s">
        <v>246</v>
      </c>
      <c r="AE10" s="395">
        <v>6</v>
      </c>
      <c r="AF10" s="396">
        <f t="shared" si="2"/>
        <v>2.4000000000000004</v>
      </c>
      <c r="AG10" s="397" t="str">
        <f t="shared" si="0"/>
        <v>UVR4S</v>
      </c>
      <c r="AH10" s="407" t="s">
        <v>245</v>
      </c>
      <c r="AI10" s="397">
        <v>0.2</v>
      </c>
      <c r="AJ10" s="1057"/>
      <c r="AK10" s="408" t="s">
        <v>22</v>
      </c>
      <c r="AL10" s="408" t="s">
        <v>438</v>
      </c>
      <c r="AM10" s="916">
        <v>45.283200000000001</v>
      </c>
      <c r="AN10" s="601">
        <v>42.72</v>
      </c>
      <c r="AO10" s="1058"/>
      <c r="AP10" s="405" t="s">
        <v>631</v>
      </c>
      <c r="AQ10" s="394">
        <f>AR10+(POLLUSTOP!$G$41*0.94)</f>
        <v>3130.2799999999997</v>
      </c>
      <c r="AR10" s="923">
        <v>1428.88</v>
      </c>
      <c r="AS10" s="595">
        <v>1348</v>
      </c>
      <c r="AU10" s="408" t="s">
        <v>464</v>
      </c>
      <c r="AV10" s="410">
        <v>13</v>
      </c>
      <c r="AW10" s="408" t="s">
        <v>479</v>
      </c>
      <c r="AX10" s="917">
        <v>750.53300000000002</v>
      </c>
      <c r="AY10" s="602">
        <v>708.05</v>
      </c>
    </row>
    <row r="11" spans="1:71" ht="14.5" customHeight="1" x14ac:dyDescent="0.15">
      <c r="A11" s="405" t="s">
        <v>879</v>
      </c>
      <c r="B11" s="899">
        <v>127.2</v>
      </c>
      <c r="C11" s="597">
        <v>120</v>
      </c>
      <c r="E11" s="912" t="s">
        <v>1188</v>
      </c>
      <c r="F11" s="899">
        <v>344.5</v>
      </c>
      <c r="G11" s="597">
        <v>325</v>
      </c>
      <c r="H11" s="404"/>
      <c r="N11" s="899"/>
      <c r="O11" s="597"/>
      <c r="Q11" s="405" t="s">
        <v>346</v>
      </c>
      <c r="R11" s="916">
        <v>1.06</v>
      </c>
      <c r="S11" s="597">
        <v>1</v>
      </c>
      <c r="T11" s="393">
        <f t="shared" si="1"/>
        <v>1.1236000000000002</v>
      </c>
      <c r="U11" s="405" t="s">
        <v>829</v>
      </c>
      <c r="V11" s="916">
        <v>3231.05</v>
      </c>
      <c r="W11" s="597">
        <v>3150.49</v>
      </c>
      <c r="Y11" s="393" t="s">
        <v>371</v>
      </c>
      <c r="Z11" s="406" t="s">
        <v>263</v>
      </c>
      <c r="AA11" s="916">
        <v>4888.7093999999997</v>
      </c>
      <c r="AB11" s="597">
        <v>4611.99</v>
      </c>
      <c r="AC11" s="395">
        <v>4</v>
      </c>
      <c r="AD11" s="406" t="s">
        <v>246</v>
      </c>
      <c r="AE11" s="395">
        <v>7</v>
      </c>
      <c r="AF11" s="396">
        <f t="shared" si="2"/>
        <v>2.8000000000000003</v>
      </c>
      <c r="AI11" s="397"/>
      <c r="AJ11" s="1057"/>
      <c r="AK11" s="408" t="s">
        <v>26</v>
      </c>
      <c r="AL11" s="408" t="s">
        <v>439</v>
      </c>
      <c r="AM11" s="916">
        <v>44.710799999999999</v>
      </c>
      <c r="AN11" s="601">
        <v>42.18</v>
      </c>
      <c r="AO11" s="1058"/>
      <c r="AP11" s="405" t="s">
        <v>632</v>
      </c>
      <c r="AQ11" s="394">
        <f>AR11+(POLLUSTOP!$G$42*0.94)</f>
        <v>1592.1200000000001</v>
      </c>
      <c r="AR11" s="923">
        <v>1592.1200000000001</v>
      </c>
      <c r="AS11" s="595">
        <v>1502</v>
      </c>
      <c r="AU11" s="408" t="s">
        <v>465</v>
      </c>
      <c r="AV11" s="410">
        <v>9</v>
      </c>
      <c r="AW11" s="408" t="s">
        <v>477</v>
      </c>
      <c r="AX11" s="917">
        <v>412.7004</v>
      </c>
      <c r="AY11" s="602">
        <v>389.34</v>
      </c>
    </row>
    <row r="12" spans="1:71" ht="14.5" customHeight="1" x14ac:dyDescent="0.15">
      <c r="A12" s="393" t="s">
        <v>522</v>
      </c>
      <c r="B12" s="899">
        <v>60.494200000000006</v>
      </c>
      <c r="C12" s="597">
        <v>57.07</v>
      </c>
      <c r="E12" s="912" t="s">
        <v>1189</v>
      </c>
      <c r="F12" s="899">
        <v>306.34000000000003</v>
      </c>
      <c r="G12" s="597">
        <v>289</v>
      </c>
      <c r="H12" s="404"/>
      <c r="I12" s="415" t="s">
        <v>79</v>
      </c>
      <c r="J12" s="415"/>
      <c r="K12" s="415"/>
      <c r="N12" s="899"/>
      <c r="O12" s="597"/>
      <c r="Q12" s="405" t="s">
        <v>1352</v>
      </c>
      <c r="R12" s="916">
        <v>112.678</v>
      </c>
      <c r="S12" s="597">
        <v>106.3</v>
      </c>
      <c r="T12" s="393">
        <f t="shared" si="1"/>
        <v>119.43868000000001</v>
      </c>
      <c r="U12" s="405" t="s">
        <v>840</v>
      </c>
      <c r="V12" s="916">
        <v>0</v>
      </c>
      <c r="W12" s="597">
        <v>0</v>
      </c>
      <c r="Y12" s="393" t="s">
        <v>372</v>
      </c>
      <c r="Z12" s="406" t="s">
        <v>264</v>
      </c>
      <c r="AA12" s="916">
        <v>5539.3056000000006</v>
      </c>
      <c r="AB12" s="597">
        <v>5225.76</v>
      </c>
      <c r="AC12" s="395">
        <v>4</v>
      </c>
      <c r="AD12" s="406" t="s">
        <v>246</v>
      </c>
      <c r="AE12" s="395">
        <v>8</v>
      </c>
      <c r="AF12" s="396">
        <f t="shared" si="2"/>
        <v>3.2</v>
      </c>
      <c r="AI12" s="397"/>
      <c r="AJ12" s="1057"/>
      <c r="AK12" s="408" t="s">
        <v>23</v>
      </c>
      <c r="AL12" s="408" t="s">
        <v>440</v>
      </c>
      <c r="AM12" s="916">
        <v>17.744399999999999</v>
      </c>
      <c r="AN12" s="601">
        <v>16.739999999999998</v>
      </c>
      <c r="AO12" s="1058"/>
      <c r="AP12" s="405" t="s">
        <v>633</v>
      </c>
      <c r="AQ12" s="394">
        <f>AR12+(POLLUSTOP!$G$42*0.94)</f>
        <v>1699.18</v>
      </c>
      <c r="AR12" s="923">
        <v>1699.18</v>
      </c>
      <c r="AS12" s="595">
        <v>1603</v>
      </c>
      <c r="AU12" s="408" t="s">
        <v>465</v>
      </c>
      <c r="AV12" s="410">
        <v>10</v>
      </c>
      <c r="AW12" s="408" t="s">
        <v>478</v>
      </c>
      <c r="AX12" s="917">
        <v>535.6816</v>
      </c>
      <c r="AY12" s="602">
        <v>505.36</v>
      </c>
    </row>
    <row r="13" spans="1:71" ht="14.5" customHeight="1" x14ac:dyDescent="0.2">
      <c r="A13" s="393" t="s">
        <v>523</v>
      </c>
      <c r="B13" s="899">
        <v>566.77140000000009</v>
      </c>
      <c r="C13" s="597">
        <v>534.69000000000005</v>
      </c>
      <c r="E13" s="912" t="s">
        <v>1145</v>
      </c>
      <c r="F13" s="899">
        <v>434.6</v>
      </c>
      <c r="G13" s="597">
        <v>410</v>
      </c>
      <c r="H13" s="404"/>
      <c r="I13" s="393" t="s">
        <v>83</v>
      </c>
      <c r="J13" s="899">
        <v>429.3</v>
      </c>
      <c r="K13" s="597">
        <v>405</v>
      </c>
      <c r="M13" s="405" t="s">
        <v>1043</v>
      </c>
      <c r="N13" s="899">
        <v>189.96</v>
      </c>
      <c r="O13" s="597">
        <v>179.21</v>
      </c>
      <c r="Q13" s="812" t="s">
        <v>1353</v>
      </c>
      <c r="R13" s="923">
        <v>25.334</v>
      </c>
      <c r="S13" s="394">
        <v>23.9</v>
      </c>
      <c r="T13" s="393">
        <f t="shared" si="1"/>
        <v>26.854040000000001</v>
      </c>
      <c r="U13" s="405" t="s">
        <v>841</v>
      </c>
      <c r="V13" s="916">
        <v>3231.05</v>
      </c>
      <c r="W13" s="597">
        <v>3150.49</v>
      </c>
      <c r="Y13" s="393" t="s">
        <v>373</v>
      </c>
      <c r="Z13" s="406" t="s">
        <v>265</v>
      </c>
      <c r="AA13" s="916">
        <v>6189.9017999999996</v>
      </c>
      <c r="AB13" s="597">
        <v>5839.53</v>
      </c>
      <c r="AC13" s="395">
        <v>4</v>
      </c>
      <c r="AD13" s="406" t="s">
        <v>246</v>
      </c>
      <c r="AE13" s="395">
        <v>9</v>
      </c>
      <c r="AF13" s="396">
        <f t="shared" si="2"/>
        <v>3.6</v>
      </c>
      <c r="AI13" s="397"/>
      <c r="AJ13" s="1057"/>
      <c r="AK13" s="408" t="s">
        <v>24</v>
      </c>
      <c r="AL13" s="492" t="s">
        <v>995</v>
      </c>
      <c r="AM13" s="916">
        <v>198.22</v>
      </c>
      <c r="AN13" s="601">
        <v>187</v>
      </c>
      <c r="AO13" s="1058"/>
      <c r="AP13" s="405" t="s">
        <v>634</v>
      </c>
      <c r="AQ13" s="394">
        <f>AR13+(POLLUSTOP!$G$43*0.94)</f>
        <v>1889.98</v>
      </c>
      <c r="AR13" s="923">
        <v>1889.98</v>
      </c>
      <c r="AS13" s="595">
        <v>1783</v>
      </c>
      <c r="AU13" s="408" t="s">
        <v>465</v>
      </c>
      <c r="AV13" s="410">
        <v>10</v>
      </c>
      <c r="AW13" s="408" t="s">
        <v>479</v>
      </c>
      <c r="AX13" s="917">
        <v>625.4</v>
      </c>
      <c r="AY13" s="602">
        <v>590</v>
      </c>
      <c r="BB13" s="832"/>
      <c r="BC13" s="830"/>
      <c r="BD13" s="833"/>
      <c r="BE13" s="826"/>
      <c r="BF13" s="1159"/>
      <c r="BG13" s="1159"/>
      <c r="BH13" s="1159"/>
      <c r="BI13" s="1159"/>
      <c r="BJ13" s="165"/>
      <c r="BK13" s="165"/>
      <c r="BL13" s="1159"/>
      <c r="BM13" s="1159"/>
      <c r="BN13" s="1159"/>
      <c r="BO13" s="1159"/>
      <c r="BP13" s="165"/>
      <c r="BQ13" s="833"/>
      <c r="BR13" s="826"/>
      <c r="BS13" s="826"/>
    </row>
    <row r="14" spans="1:71" ht="14.5" customHeight="1" x14ac:dyDescent="0.2">
      <c r="A14" s="812" t="s">
        <v>524</v>
      </c>
      <c r="B14" s="899">
        <v>92.442599999999999</v>
      </c>
      <c r="C14" s="597">
        <v>87.21</v>
      </c>
      <c r="E14" s="912" t="s">
        <v>1190</v>
      </c>
      <c r="F14" s="899">
        <v>1203.1000000000001</v>
      </c>
      <c r="G14" s="597">
        <v>1135</v>
      </c>
      <c r="H14" s="404"/>
      <c r="I14" s="393" t="s">
        <v>80</v>
      </c>
      <c r="J14" s="899">
        <v>430.36</v>
      </c>
      <c r="K14" s="597">
        <v>406</v>
      </c>
      <c r="M14" s="405" t="s">
        <v>1044</v>
      </c>
      <c r="N14" s="899">
        <v>228.02</v>
      </c>
      <c r="O14" s="597">
        <v>215.11</v>
      </c>
      <c r="S14" s="394"/>
      <c r="U14" s="405" t="s">
        <v>836</v>
      </c>
      <c r="V14" s="916"/>
      <c r="W14" s="597"/>
      <c r="Y14" s="393" t="s">
        <v>374</v>
      </c>
      <c r="Z14" s="406" t="s">
        <v>266</v>
      </c>
      <c r="AA14" s="916">
        <v>6840.4980000000005</v>
      </c>
      <c r="AB14" s="597">
        <v>6453.3</v>
      </c>
      <c r="AC14" s="395">
        <v>4</v>
      </c>
      <c r="AD14" s="406" t="s">
        <v>246</v>
      </c>
      <c r="AE14" s="395">
        <v>10</v>
      </c>
      <c r="AF14" s="396">
        <f t="shared" si="2"/>
        <v>4</v>
      </c>
      <c r="AI14" s="397"/>
      <c r="AJ14" s="1057"/>
      <c r="AK14" s="408" t="s">
        <v>27</v>
      </c>
      <c r="AL14" s="492" t="s">
        <v>996</v>
      </c>
      <c r="AM14" s="916">
        <v>267.12</v>
      </c>
      <c r="AN14" s="601">
        <v>252</v>
      </c>
      <c r="AO14" s="1058"/>
      <c r="AP14" s="405" t="s">
        <v>635</v>
      </c>
      <c r="AQ14" s="394">
        <f>AR14+(POLLUSTOP!$G$43*0.94)</f>
        <v>2002.3400000000001</v>
      </c>
      <c r="AR14" s="923">
        <v>2002.3400000000001</v>
      </c>
      <c r="AS14" s="595">
        <v>1889</v>
      </c>
      <c r="AU14" s="408" t="s">
        <v>466</v>
      </c>
      <c r="AV14" s="410">
        <v>12</v>
      </c>
      <c r="AW14" s="809" t="s">
        <v>978</v>
      </c>
      <c r="AX14" s="917">
        <v>877.40440000000001</v>
      </c>
      <c r="AY14" s="602">
        <v>827.74</v>
      </c>
      <c r="BB14" s="830"/>
      <c r="BC14" s="821"/>
      <c r="BD14" s="810"/>
      <c r="BE14" s="810"/>
      <c r="BF14" s="826"/>
      <c r="BG14" s="826"/>
      <c r="BH14" s="826"/>
      <c r="BI14" s="826"/>
      <c r="BJ14" s="826"/>
      <c r="BK14" s="826"/>
      <c r="BL14" s="826"/>
      <c r="BM14" s="826"/>
      <c r="BN14" s="826"/>
      <c r="BO14" s="826"/>
      <c r="BP14" s="826"/>
      <c r="BQ14" s="826"/>
      <c r="BR14" s="826"/>
      <c r="BS14" s="826"/>
    </row>
    <row r="15" spans="1:71" ht="14.5" customHeight="1" x14ac:dyDescent="0.2">
      <c r="A15" s="393" t="s">
        <v>525</v>
      </c>
      <c r="B15" s="899">
        <v>123.70200000000001</v>
      </c>
      <c r="C15" s="597">
        <v>116.7</v>
      </c>
      <c r="E15" s="912" t="s">
        <v>1191</v>
      </c>
      <c r="F15" s="899">
        <v>344.5</v>
      </c>
      <c r="G15" s="597">
        <v>325</v>
      </c>
      <c r="H15" s="404"/>
      <c r="I15" s="393" t="s">
        <v>81</v>
      </c>
      <c r="J15" s="899">
        <v>327.54000000000002</v>
      </c>
      <c r="K15" s="597">
        <v>309</v>
      </c>
      <c r="M15" s="405" t="s">
        <v>1045</v>
      </c>
      <c r="N15" s="923">
        <v>294.79000000000002</v>
      </c>
      <c r="O15" s="595">
        <v>278.10000000000002</v>
      </c>
      <c r="Q15" s="415" t="s">
        <v>601</v>
      </c>
      <c r="R15" s="415">
        <v>0</v>
      </c>
      <c r="S15" s="415">
        <v>0</v>
      </c>
      <c r="U15" s="405" t="s">
        <v>837</v>
      </c>
      <c r="V15" s="916"/>
      <c r="W15" s="597"/>
      <c r="Y15" s="393" t="s">
        <v>375</v>
      </c>
      <c r="Z15" s="406" t="s">
        <v>267</v>
      </c>
      <c r="AA15" s="916">
        <v>7491.0942000000005</v>
      </c>
      <c r="AB15" s="597">
        <v>7067.07</v>
      </c>
      <c r="AC15" s="395">
        <v>4</v>
      </c>
      <c r="AD15" s="406" t="s">
        <v>246</v>
      </c>
      <c r="AE15" s="395">
        <v>11</v>
      </c>
      <c r="AF15" s="396">
        <f t="shared" si="2"/>
        <v>4.4000000000000004</v>
      </c>
      <c r="AI15" s="397"/>
      <c r="AJ15" s="1057"/>
      <c r="AK15" s="409"/>
      <c r="AL15" s="405" t="s">
        <v>1047</v>
      </c>
      <c r="AM15" s="916">
        <v>119.78</v>
      </c>
      <c r="AN15" s="601">
        <v>113</v>
      </c>
      <c r="AO15" s="1058"/>
      <c r="AP15" s="405" t="s">
        <v>636</v>
      </c>
      <c r="AQ15" s="394">
        <f>AR15+(POLLUSTOP!$G$43*0.94)</f>
        <v>2297.02</v>
      </c>
      <c r="AR15" s="923">
        <v>2297.02</v>
      </c>
      <c r="AS15" s="595">
        <v>2167</v>
      </c>
      <c r="AU15" s="408" t="s">
        <v>466</v>
      </c>
      <c r="AV15" s="410">
        <v>13</v>
      </c>
      <c r="AW15" s="809" t="s">
        <v>979</v>
      </c>
      <c r="AX15" s="917">
        <v>1061.6218000000001</v>
      </c>
      <c r="AY15" s="602">
        <v>1001.53</v>
      </c>
      <c r="BB15" s="825"/>
      <c r="BC15" s="825"/>
      <c r="BD15" s="817"/>
      <c r="BE15" s="810"/>
      <c r="BF15" s="185"/>
      <c r="BG15" s="185"/>
      <c r="BH15" s="185"/>
      <c r="BI15" s="185"/>
      <c r="BJ15" s="817"/>
      <c r="BK15" s="165"/>
      <c r="BL15" s="185"/>
      <c r="BM15" s="185"/>
      <c r="BN15" s="185"/>
      <c r="BO15" s="185"/>
      <c r="BP15" s="817"/>
      <c r="BQ15" s="826"/>
      <c r="BR15" s="826"/>
      <c r="BS15" s="826"/>
    </row>
    <row r="16" spans="1:71" ht="14.5" customHeight="1" x14ac:dyDescent="0.2">
      <c r="A16" s="405" t="s">
        <v>886</v>
      </c>
      <c r="B16" s="899">
        <v>0</v>
      </c>
      <c r="C16" s="597">
        <v>0</v>
      </c>
      <c r="E16" s="912" t="s">
        <v>1192</v>
      </c>
      <c r="F16" s="899">
        <v>376.3</v>
      </c>
      <c r="G16" s="597">
        <v>355</v>
      </c>
      <c r="H16" s="404"/>
      <c r="I16" s="393" t="s">
        <v>82</v>
      </c>
      <c r="J16" s="899">
        <v>604.20000000000005</v>
      </c>
      <c r="K16" s="597">
        <v>570</v>
      </c>
      <c r="Q16" s="393" t="s">
        <v>532</v>
      </c>
      <c r="R16" s="899">
        <v>1023.96</v>
      </c>
      <c r="S16" s="597">
        <v>966</v>
      </c>
      <c r="T16" s="393">
        <f>R16*1.06</f>
        <v>1085.3976</v>
      </c>
      <c r="U16" s="405" t="s">
        <v>838</v>
      </c>
      <c r="V16" s="916"/>
      <c r="W16" s="597"/>
      <c r="Y16" s="393" t="s">
        <v>376</v>
      </c>
      <c r="Z16" s="406" t="s">
        <v>268</v>
      </c>
      <c r="AA16" s="916">
        <v>8141.6904000000004</v>
      </c>
      <c r="AB16" s="597">
        <v>7680.84</v>
      </c>
      <c r="AC16" s="395">
        <v>4</v>
      </c>
      <c r="AD16" s="406" t="s">
        <v>246</v>
      </c>
      <c r="AE16" s="395">
        <v>12</v>
      </c>
      <c r="AF16" s="396">
        <f t="shared" si="2"/>
        <v>4.8000000000000007</v>
      </c>
      <c r="AG16" s="397"/>
      <c r="AH16" s="397"/>
      <c r="AI16" s="397"/>
      <c r="AJ16" s="1057"/>
      <c r="AK16" s="409" t="s">
        <v>64</v>
      </c>
      <c r="AL16" s="408" t="s">
        <v>441</v>
      </c>
      <c r="AM16" s="916">
        <v>5.4484000000000004</v>
      </c>
      <c r="AN16" s="601">
        <v>5.14</v>
      </c>
      <c r="AO16" s="1058"/>
      <c r="AP16" s="405" t="s">
        <v>637</v>
      </c>
      <c r="AQ16" s="394">
        <f>AR16+(POLLUSTOP!$G$44*0.94)</f>
        <v>2603.36</v>
      </c>
      <c r="AR16" s="923">
        <v>2603.36</v>
      </c>
      <c r="AS16" s="595">
        <v>2456</v>
      </c>
      <c r="AU16" s="408" t="s">
        <v>466</v>
      </c>
      <c r="AV16" s="410">
        <v>13</v>
      </c>
      <c r="AW16" s="809" t="s">
        <v>980</v>
      </c>
      <c r="AX16" s="917">
        <v>1326.2084000000002</v>
      </c>
      <c r="AY16" s="602">
        <v>1251.1400000000001</v>
      </c>
      <c r="BB16" s="825"/>
      <c r="BC16" s="825"/>
      <c r="BD16" s="817"/>
      <c r="BE16" s="810"/>
      <c r="BF16" s="185"/>
      <c r="BG16" s="185"/>
      <c r="BH16" s="185"/>
      <c r="BI16" s="185"/>
      <c r="BJ16" s="817"/>
      <c r="BK16" s="165"/>
      <c r="BL16" s="185"/>
      <c r="BM16" s="185"/>
      <c r="BN16" s="185"/>
      <c r="BO16" s="185"/>
      <c r="BP16" s="817"/>
      <c r="BQ16" s="826"/>
      <c r="BR16" s="826"/>
      <c r="BS16" s="826"/>
    </row>
    <row r="17" spans="1:71" ht="14.5" customHeight="1" x14ac:dyDescent="0.2">
      <c r="A17" s="405"/>
      <c r="B17" s="899"/>
      <c r="C17" s="597"/>
      <c r="E17" s="912"/>
      <c r="F17" s="899"/>
      <c r="G17" s="597"/>
      <c r="H17" s="404"/>
      <c r="J17" s="896"/>
      <c r="K17" s="597"/>
      <c r="R17" s="899"/>
      <c r="S17" s="597"/>
      <c r="U17" s="405"/>
      <c r="V17" s="916"/>
      <c r="W17" s="597"/>
      <c r="Z17" s="406"/>
      <c r="AA17" s="916"/>
      <c r="AB17" s="597"/>
      <c r="AD17" s="406"/>
      <c r="AG17" s="397"/>
      <c r="AH17" s="397"/>
      <c r="AI17" s="397"/>
      <c r="AJ17" s="1057"/>
      <c r="AK17" s="409"/>
      <c r="AL17" s="408"/>
      <c r="AM17" s="916">
        <v>0</v>
      </c>
      <c r="AN17" s="601"/>
      <c r="AO17" s="1058"/>
      <c r="AP17" s="405"/>
      <c r="AR17" s="923"/>
      <c r="AS17" s="923"/>
      <c r="AU17" s="809" t="s">
        <v>1313</v>
      </c>
      <c r="AV17" s="410">
        <v>1</v>
      </c>
      <c r="AW17" s="809" t="s">
        <v>1367</v>
      </c>
      <c r="AX17" s="917">
        <v>53</v>
      </c>
      <c r="AY17" s="602">
        <v>50</v>
      </c>
      <c r="BB17" s="825"/>
      <c r="BC17" s="825"/>
      <c r="BD17" s="817"/>
      <c r="BE17" s="810"/>
      <c r="BF17" s="185"/>
      <c r="BG17" s="185"/>
      <c r="BH17" s="185"/>
      <c r="BI17" s="185"/>
      <c r="BJ17" s="817"/>
      <c r="BK17" s="165"/>
      <c r="BL17" s="185"/>
      <c r="BM17" s="185"/>
      <c r="BN17" s="185"/>
      <c r="BO17" s="185"/>
      <c r="BP17" s="817"/>
      <c r="BQ17" s="826"/>
      <c r="BR17" s="826"/>
      <c r="BS17" s="826"/>
    </row>
    <row r="18" spans="1:71" ht="14.5" customHeight="1" x14ac:dyDescent="0.2">
      <c r="A18" s="393" t="s">
        <v>437</v>
      </c>
      <c r="E18" s="912" t="s">
        <v>1193</v>
      </c>
      <c r="F18" s="899">
        <v>858.6</v>
      </c>
      <c r="G18" s="597">
        <v>810</v>
      </c>
      <c r="H18" s="404"/>
      <c r="Q18" s="393" t="s">
        <v>533</v>
      </c>
      <c r="R18" s="899">
        <v>1214.76</v>
      </c>
      <c r="S18" s="597">
        <v>1146</v>
      </c>
      <c r="T18" s="393">
        <f t="shared" ref="T18:T20" si="3">R18*1.06</f>
        <v>1287.6456000000001</v>
      </c>
      <c r="U18" s="405" t="s">
        <v>830</v>
      </c>
      <c r="V18" s="916">
        <v>4267.32</v>
      </c>
      <c r="W18" s="597">
        <v>4162.8500000000004</v>
      </c>
      <c r="Y18" s="393" t="s">
        <v>377</v>
      </c>
      <c r="Z18" s="406" t="s">
        <v>269</v>
      </c>
      <c r="AA18" s="916">
        <v>1022.6562</v>
      </c>
      <c r="AB18" s="597">
        <v>964.77</v>
      </c>
      <c r="AC18" s="395">
        <v>4</v>
      </c>
      <c r="AD18" s="406" t="s">
        <v>248</v>
      </c>
      <c r="AE18" s="395">
        <v>1</v>
      </c>
      <c r="AF18" s="396">
        <f>IF(AD18="S",AC18*#REF!*AE18,AC18*$AD$3*AE18)</f>
        <v>0.8</v>
      </c>
      <c r="AG18" s="397"/>
      <c r="AH18" s="402"/>
      <c r="AJ18" s="1057"/>
      <c r="AK18" s="409" t="s">
        <v>64</v>
      </c>
      <c r="AL18" s="408" t="s">
        <v>442</v>
      </c>
      <c r="AM18" s="916">
        <v>27.220800000000001</v>
      </c>
      <c r="AN18" s="601">
        <v>25.68</v>
      </c>
      <c r="AO18" s="1058"/>
      <c r="AP18" s="405"/>
      <c r="AU18" s="408" t="s">
        <v>6</v>
      </c>
      <c r="AV18" s="410">
        <v>12</v>
      </c>
      <c r="AW18" s="408" t="s">
        <v>483</v>
      </c>
      <c r="AX18" s="917">
        <v>476.95760000000001</v>
      </c>
      <c r="AY18" s="602">
        <v>449.96</v>
      </c>
      <c r="BB18" s="825"/>
      <c r="BC18" s="825"/>
      <c r="BD18" s="817"/>
      <c r="BE18" s="810"/>
      <c r="BF18" s="185"/>
      <c r="BG18" s="185"/>
      <c r="BH18" s="185"/>
      <c r="BI18" s="185"/>
      <c r="BJ18" s="817"/>
      <c r="BK18" s="165"/>
      <c r="BL18" s="185"/>
      <c r="BM18" s="185"/>
      <c r="BN18" s="185"/>
      <c r="BO18" s="185"/>
      <c r="BP18" s="817"/>
      <c r="BQ18" s="826"/>
      <c r="BR18" s="826"/>
      <c r="BS18" s="826"/>
    </row>
    <row r="19" spans="1:71" ht="14.5" customHeight="1" x14ac:dyDescent="0.2">
      <c r="A19" s="417" t="s">
        <v>565</v>
      </c>
      <c r="B19" s="417"/>
      <c r="C19" s="417"/>
      <c r="E19" s="912" t="s">
        <v>1194</v>
      </c>
      <c r="F19" s="899">
        <v>633.88</v>
      </c>
      <c r="G19" s="597">
        <v>598</v>
      </c>
      <c r="H19" s="404"/>
      <c r="I19" s="415" t="s">
        <v>5</v>
      </c>
      <c r="J19" s="415"/>
      <c r="K19" s="415"/>
      <c r="M19" s="405"/>
      <c r="Q19" s="393" t="s">
        <v>534</v>
      </c>
      <c r="R19" s="899">
        <v>1444.78</v>
      </c>
      <c r="S19" s="597">
        <v>1363</v>
      </c>
      <c r="T19" s="393">
        <f t="shared" si="3"/>
        <v>1531.4668000000001</v>
      </c>
      <c r="U19" s="405" t="s">
        <v>842</v>
      </c>
      <c r="V19" s="916">
        <v>0</v>
      </c>
      <c r="W19" s="597">
        <v>0</v>
      </c>
      <c r="Y19" s="393" t="s">
        <v>378</v>
      </c>
      <c r="Z19" s="406" t="s">
        <v>270</v>
      </c>
      <c r="AA19" s="916">
        <v>1710.7764000000002</v>
      </c>
      <c r="AB19" s="597">
        <v>1613.94</v>
      </c>
      <c r="AC19" s="395">
        <v>4</v>
      </c>
      <c r="AD19" s="406" t="s">
        <v>248</v>
      </c>
      <c r="AE19" s="395">
        <v>2</v>
      </c>
      <c r="AF19" s="396">
        <f>IF(AD19="S",AC19*#REF!*AE19,AC19*$AD$3*AE19)</f>
        <v>1.6</v>
      </c>
      <c r="AJ19" s="1057"/>
      <c r="AK19" s="408"/>
      <c r="AL19" s="408" t="s">
        <v>443</v>
      </c>
      <c r="AM19" s="916">
        <v>0</v>
      </c>
      <c r="AN19" s="601">
        <v>0</v>
      </c>
      <c r="AO19" s="1058"/>
      <c r="AP19" s="423" t="s">
        <v>91</v>
      </c>
      <c r="AQ19" s="417"/>
      <c r="AR19" s="417"/>
      <c r="AS19" s="417"/>
      <c r="AU19" s="408" t="s">
        <v>6</v>
      </c>
      <c r="AV19" s="410">
        <v>14</v>
      </c>
      <c r="AW19" s="408" t="s">
        <v>484</v>
      </c>
      <c r="AX19" s="917">
        <v>633.62560000000008</v>
      </c>
      <c r="AY19" s="602">
        <v>597.76</v>
      </c>
      <c r="BB19" s="825"/>
      <c r="BC19" s="825"/>
      <c r="BD19" s="817"/>
      <c r="BE19" s="810"/>
      <c r="BF19" s="185"/>
      <c r="BG19" s="185"/>
      <c r="BH19" s="185"/>
      <c r="BI19" s="185"/>
      <c r="BJ19" s="817"/>
      <c r="BK19" s="165"/>
      <c r="BL19" s="185"/>
      <c r="BM19" s="185"/>
      <c r="BN19" s="185"/>
      <c r="BO19" s="185"/>
      <c r="BP19" s="817"/>
      <c r="BQ19" s="826"/>
      <c r="BR19" s="826"/>
      <c r="BS19" s="826"/>
    </row>
    <row r="20" spans="1:71" ht="14.5" customHeight="1" x14ac:dyDescent="0.2">
      <c r="A20" s="405" t="s">
        <v>566</v>
      </c>
      <c r="B20" s="899">
        <v>133.56</v>
      </c>
      <c r="C20" s="597">
        <v>126</v>
      </c>
      <c r="E20" s="912" t="s">
        <v>1195</v>
      </c>
      <c r="F20" s="899">
        <v>1203.1000000000001</v>
      </c>
      <c r="G20" s="597">
        <v>1135</v>
      </c>
      <c r="H20" s="404"/>
      <c r="I20" s="405" t="s">
        <v>824</v>
      </c>
      <c r="J20" s="899">
        <v>354.34740000000005</v>
      </c>
      <c r="K20" s="597">
        <v>334.29</v>
      </c>
      <c r="M20" s="405"/>
      <c r="Q20" s="393" t="s">
        <v>535</v>
      </c>
      <c r="R20" s="899">
        <v>1585.76</v>
      </c>
      <c r="S20" s="597">
        <v>1496</v>
      </c>
      <c r="T20" s="393">
        <f t="shared" si="3"/>
        <v>1680.9056</v>
      </c>
      <c r="U20" s="405" t="s">
        <v>843</v>
      </c>
      <c r="V20" s="916">
        <v>4267.32</v>
      </c>
      <c r="W20" s="597">
        <v>4162.8500000000004</v>
      </c>
      <c r="Y20" s="393" t="s">
        <v>379</v>
      </c>
      <c r="Z20" s="406" t="s">
        <v>271</v>
      </c>
      <c r="AA20" s="916">
        <v>2398.8966</v>
      </c>
      <c r="AB20" s="597">
        <v>2263.11</v>
      </c>
      <c r="AC20" s="395">
        <v>4</v>
      </c>
      <c r="AD20" s="406" t="s">
        <v>248</v>
      </c>
      <c r="AE20" s="395">
        <v>3</v>
      </c>
      <c r="AF20" s="396">
        <f>IF(AD20="S",AC20*#REF!*AE20,AC20*$AD$3*AE20)</f>
        <v>2.4000000000000004</v>
      </c>
      <c r="AJ20" s="1057"/>
      <c r="AK20" s="492" t="s">
        <v>665</v>
      </c>
      <c r="AL20" s="492" t="s">
        <v>666</v>
      </c>
      <c r="AM20" s="916">
        <v>262.03199999999998</v>
      </c>
      <c r="AN20" s="601">
        <v>247.2</v>
      </c>
      <c r="AO20" s="1058"/>
      <c r="AP20" s="405" t="s">
        <v>77</v>
      </c>
      <c r="AQ20" s="394">
        <v>0</v>
      </c>
      <c r="AR20" s="839"/>
      <c r="AS20" s="839"/>
      <c r="AU20" s="408" t="s">
        <v>6</v>
      </c>
      <c r="AV20" s="410">
        <v>16</v>
      </c>
      <c r="AW20" s="408" t="s">
        <v>485</v>
      </c>
      <c r="AX20" s="917">
        <v>734.64359999999999</v>
      </c>
      <c r="AY20" s="602">
        <v>693.06</v>
      </c>
      <c r="BB20" s="825"/>
      <c r="BC20" s="825"/>
      <c r="BD20" s="817"/>
      <c r="BE20" s="810"/>
      <c r="BF20" s="185"/>
      <c r="BG20" s="185"/>
      <c r="BH20" s="185"/>
      <c r="BI20" s="185"/>
      <c r="BJ20" s="817"/>
      <c r="BK20" s="165"/>
      <c r="BL20" s="185"/>
      <c r="BM20" s="185"/>
      <c r="BN20" s="185"/>
      <c r="BO20" s="185"/>
      <c r="BP20" s="817"/>
      <c r="BQ20" s="826"/>
      <c r="BR20" s="826"/>
      <c r="BS20" s="826"/>
    </row>
    <row r="21" spans="1:71" ht="14.5" customHeight="1" x14ac:dyDescent="0.2">
      <c r="A21" s="405"/>
      <c r="E21" s="912" t="s">
        <v>1196</v>
      </c>
      <c r="F21" s="899">
        <v>344.5</v>
      </c>
      <c r="G21" s="597">
        <v>325</v>
      </c>
      <c r="H21" s="404"/>
      <c r="I21" s="405" t="s">
        <v>825</v>
      </c>
      <c r="J21" s="899">
        <v>395.35880000000003</v>
      </c>
      <c r="K21" s="597">
        <v>372.98</v>
      </c>
      <c r="M21" s="405"/>
      <c r="S21" s="394"/>
      <c r="U21" s="405" t="s">
        <v>836</v>
      </c>
      <c r="V21" s="916"/>
      <c r="W21" s="597"/>
      <c r="Y21" s="393" t="s">
        <v>380</v>
      </c>
      <c r="Z21" s="406" t="s">
        <v>272</v>
      </c>
      <c r="AA21" s="916">
        <v>3087.0168000000003</v>
      </c>
      <c r="AB21" s="597">
        <v>2912.28</v>
      </c>
      <c r="AC21" s="395">
        <v>4</v>
      </c>
      <c r="AD21" s="406" t="s">
        <v>248</v>
      </c>
      <c r="AE21" s="395">
        <v>4</v>
      </c>
      <c r="AF21" s="396">
        <f>IF(AD21="S",AC21*#REF!*AE21,AC21*$AD$3*AE21)</f>
        <v>3.2</v>
      </c>
      <c r="AJ21" s="1057"/>
      <c r="AK21" s="408"/>
      <c r="AL21" s="408" t="s">
        <v>444</v>
      </c>
      <c r="AM21" s="916">
        <v>0</v>
      </c>
      <c r="AN21" s="601">
        <v>0</v>
      </c>
      <c r="AO21" s="1058"/>
      <c r="AP21" s="405" t="s">
        <v>638</v>
      </c>
      <c r="AQ21" s="394">
        <f>(POLLUSTOP!$G$39*1.15)+AR21</f>
        <v>2675.44</v>
      </c>
      <c r="AR21" s="923">
        <v>2675.44</v>
      </c>
      <c r="AS21" s="595">
        <v>2524</v>
      </c>
      <c r="AU21" s="408" t="s">
        <v>7</v>
      </c>
      <c r="AV21" s="410">
        <v>3</v>
      </c>
      <c r="AW21" s="408" t="s">
        <v>437</v>
      </c>
      <c r="AX21" s="917">
        <v>188.36199999999999</v>
      </c>
      <c r="AY21" s="602">
        <v>177.7</v>
      </c>
      <c r="BB21" s="825"/>
      <c r="BC21" s="825"/>
      <c r="BD21" s="817"/>
      <c r="BE21" s="810"/>
      <c r="BF21" s="185"/>
      <c r="BG21" s="185"/>
      <c r="BH21" s="185"/>
      <c r="BI21" s="185"/>
      <c r="BJ21" s="817"/>
      <c r="BK21" s="165"/>
      <c r="BL21" s="185"/>
      <c r="BM21" s="185"/>
      <c r="BN21" s="185"/>
      <c r="BO21" s="185"/>
      <c r="BP21" s="817"/>
      <c r="BQ21" s="826"/>
      <c r="BR21" s="826"/>
      <c r="BS21" s="826"/>
    </row>
    <row r="22" spans="1:71" ht="14.5" customHeight="1" x14ac:dyDescent="0.2">
      <c r="A22" s="405"/>
      <c r="E22" s="912" t="s">
        <v>1127</v>
      </c>
      <c r="F22" s="899">
        <v>333.90000000000003</v>
      </c>
      <c r="G22" s="597">
        <v>315</v>
      </c>
      <c r="H22" s="404"/>
      <c r="I22" s="405" t="s">
        <v>827</v>
      </c>
      <c r="J22" s="899">
        <v>502.72620000000001</v>
      </c>
      <c r="K22" s="597">
        <v>474.27</v>
      </c>
      <c r="Q22" s="415" t="s">
        <v>570</v>
      </c>
      <c r="R22" s="415">
        <v>0</v>
      </c>
      <c r="S22" s="415">
        <v>0</v>
      </c>
      <c r="U22" s="405" t="s">
        <v>837</v>
      </c>
      <c r="V22" s="916"/>
      <c r="W22" s="597"/>
      <c r="Y22" s="393" t="s">
        <v>381</v>
      </c>
      <c r="Z22" s="406" t="s">
        <v>273</v>
      </c>
      <c r="AA22" s="916">
        <v>3775.1370000000002</v>
      </c>
      <c r="AB22" s="597">
        <v>3561.45</v>
      </c>
      <c r="AC22" s="395">
        <v>4</v>
      </c>
      <c r="AD22" s="406" t="s">
        <v>248</v>
      </c>
      <c r="AE22" s="395">
        <v>5</v>
      </c>
      <c r="AF22" s="396">
        <f>IF(AD22="S",AC22*#REF!*AE22,AC22*$AD$3*AE22)</f>
        <v>4</v>
      </c>
      <c r="AJ22" s="1057"/>
      <c r="AL22" s="412" t="s">
        <v>445</v>
      </c>
      <c r="AM22" s="916">
        <v>0</v>
      </c>
      <c r="AN22" s="601">
        <v>0</v>
      </c>
      <c r="AO22" s="1058"/>
      <c r="AP22" s="405" t="s">
        <v>639</v>
      </c>
      <c r="AQ22" s="394">
        <f>AR22+(POLLUSTOP!$G$40*1.15)</f>
        <v>5545.27</v>
      </c>
      <c r="AR22" s="923">
        <v>3251.02</v>
      </c>
      <c r="AS22" s="595">
        <v>3067</v>
      </c>
      <c r="AU22" s="408" t="s">
        <v>51</v>
      </c>
      <c r="AV22" s="410">
        <v>6</v>
      </c>
      <c r="AW22" s="408" t="s">
        <v>486</v>
      </c>
      <c r="AX22" s="917">
        <v>700</v>
      </c>
      <c r="AY22" s="602">
        <v>335.99</v>
      </c>
      <c r="BB22" s="825"/>
      <c r="BC22" s="825"/>
      <c r="BD22" s="817"/>
      <c r="BE22" s="810"/>
      <c r="BF22" s="166"/>
      <c r="BG22" s="165"/>
      <c r="BH22" s="165"/>
      <c r="BI22" s="165"/>
      <c r="BJ22" s="165"/>
      <c r="BK22" s="165"/>
      <c r="BL22" s="818"/>
      <c r="BM22" s="818"/>
      <c r="BN22" s="818"/>
      <c r="BO22" s="818"/>
      <c r="BP22" s="831"/>
      <c r="BQ22" s="826"/>
      <c r="BR22" s="826"/>
      <c r="BS22" s="826"/>
    </row>
    <row r="23" spans="1:71" ht="14.5" customHeight="1" x14ac:dyDescent="0.2">
      <c r="A23" s="393" t="s">
        <v>437</v>
      </c>
      <c r="E23" s="912" t="s">
        <v>1102</v>
      </c>
      <c r="F23" s="899">
        <v>588.30000000000007</v>
      </c>
      <c r="G23" s="597">
        <v>555</v>
      </c>
      <c r="H23" s="404"/>
      <c r="I23" s="405" t="s">
        <v>826</v>
      </c>
      <c r="J23" s="899">
        <v>572.67560000000003</v>
      </c>
      <c r="K23" s="597">
        <v>540.26</v>
      </c>
      <c r="Q23" s="405" t="s">
        <v>576</v>
      </c>
      <c r="R23" s="899">
        <v>174.68800000000002</v>
      </c>
      <c r="S23" s="597">
        <v>164.8</v>
      </c>
      <c r="T23" s="393">
        <f>R23*1.06</f>
        <v>185.16928000000001</v>
      </c>
      <c r="U23" s="405" t="s">
        <v>838</v>
      </c>
      <c r="V23" s="916"/>
      <c r="W23" s="597"/>
      <c r="Y23" s="393" t="s">
        <v>382</v>
      </c>
      <c r="Z23" s="406" t="s">
        <v>274</v>
      </c>
      <c r="AA23" s="916">
        <v>4463.2572</v>
      </c>
      <c r="AB23" s="597">
        <v>4210.62</v>
      </c>
      <c r="AC23" s="395">
        <v>4</v>
      </c>
      <c r="AD23" s="406" t="s">
        <v>248</v>
      </c>
      <c r="AE23" s="395">
        <v>6</v>
      </c>
      <c r="AF23" s="396">
        <f>IF(AD23="S",AC23*#REF!*AE23,AC23*$AD$3*AE23)</f>
        <v>4.8000000000000007</v>
      </c>
      <c r="AJ23" s="1057"/>
      <c r="AK23" s="394" t="s">
        <v>65</v>
      </c>
      <c r="AL23" s="408" t="s">
        <v>446</v>
      </c>
      <c r="AM23" s="916">
        <v>0</v>
      </c>
      <c r="AN23" s="601">
        <v>0</v>
      </c>
      <c r="AO23" s="1058"/>
      <c r="AP23" s="405" t="s">
        <v>640</v>
      </c>
      <c r="AQ23" s="394">
        <f>AR23+(POLLUSTOP!$G$41*1.15)</f>
        <v>6725.3600000000006</v>
      </c>
      <c r="AR23" s="923">
        <v>4643.8600000000006</v>
      </c>
      <c r="AS23" s="595">
        <v>4381</v>
      </c>
      <c r="AU23" s="408" t="s">
        <v>52</v>
      </c>
      <c r="AV23" s="410">
        <v>3</v>
      </c>
      <c r="AW23" s="408" t="s">
        <v>486</v>
      </c>
      <c r="AX23" s="917">
        <v>380</v>
      </c>
      <c r="AY23" s="602">
        <v>178.83</v>
      </c>
      <c r="BB23" s="825"/>
      <c r="BC23" s="825"/>
      <c r="BD23" s="817"/>
      <c r="BE23" s="810"/>
      <c r="BF23" s="166"/>
      <c r="BG23" s="165"/>
      <c r="BH23" s="165"/>
      <c r="BI23" s="165"/>
      <c r="BJ23" s="165"/>
      <c r="BK23" s="165"/>
      <c r="BL23" s="818"/>
      <c r="BM23" s="818"/>
      <c r="BN23" s="818"/>
      <c r="BO23" s="818"/>
      <c r="BP23" s="831"/>
      <c r="BQ23" s="826"/>
      <c r="BR23" s="826"/>
      <c r="BS23" s="826"/>
    </row>
    <row r="24" spans="1:71" ht="14.5" customHeight="1" x14ac:dyDescent="0.2">
      <c r="A24" s="393" t="s">
        <v>437</v>
      </c>
      <c r="E24" s="912" t="s">
        <v>1172</v>
      </c>
      <c r="F24" s="899">
        <v>413.40000000000003</v>
      </c>
      <c r="G24" s="597">
        <v>390</v>
      </c>
      <c r="H24" s="404"/>
      <c r="Q24" s="405" t="s">
        <v>573</v>
      </c>
      <c r="R24" s="899">
        <v>19.111800000000002</v>
      </c>
      <c r="S24" s="597">
        <v>18.03</v>
      </c>
      <c r="T24" s="393">
        <f t="shared" ref="T24:T33" si="4">R24*1.06</f>
        <v>20.258508000000003</v>
      </c>
      <c r="U24" s="405" t="s">
        <v>831</v>
      </c>
      <c r="V24" s="916">
        <v>5813.35</v>
      </c>
      <c r="W24" s="597">
        <v>5669.54</v>
      </c>
      <c r="Y24" s="393" t="s">
        <v>383</v>
      </c>
      <c r="Z24" s="406" t="s">
        <v>275</v>
      </c>
      <c r="AA24" s="916">
        <v>5151.3774000000003</v>
      </c>
      <c r="AB24" s="597">
        <v>4859.79</v>
      </c>
      <c r="AC24" s="395">
        <v>4</v>
      </c>
      <c r="AD24" s="406" t="s">
        <v>248</v>
      </c>
      <c r="AE24" s="395">
        <v>7</v>
      </c>
      <c r="AF24" s="396">
        <f>IF(AD24="S",AC24*#REF!*AE24,AC24*$AD$3*AE24)</f>
        <v>5.6000000000000005</v>
      </c>
      <c r="AJ24" s="1057"/>
      <c r="AK24" s="812" t="s">
        <v>1311</v>
      </c>
      <c r="AL24" s="809" t="s">
        <v>1312</v>
      </c>
      <c r="AM24" s="916">
        <v>5</v>
      </c>
      <c r="AN24" s="601">
        <v>5</v>
      </c>
      <c r="AO24" s="1058"/>
      <c r="AP24" s="405" t="s">
        <v>641</v>
      </c>
      <c r="AQ24" s="394">
        <f>AR24+(POLLUSTOP!$G$41*1.15)</f>
        <v>7558.52</v>
      </c>
      <c r="AR24" s="923">
        <v>5477.02</v>
      </c>
      <c r="AS24" s="595">
        <v>5167</v>
      </c>
      <c r="AU24" s="408" t="s">
        <v>53</v>
      </c>
      <c r="AV24" s="410">
        <v>3</v>
      </c>
      <c r="AW24" s="408" t="s">
        <v>437</v>
      </c>
      <c r="AX24" s="917">
        <v>358</v>
      </c>
      <c r="AY24" s="602">
        <v>168.71</v>
      </c>
      <c r="BB24" s="825"/>
      <c r="BC24" s="825"/>
      <c r="BD24" s="817"/>
      <c r="BE24" s="810"/>
      <c r="BF24" s="166"/>
      <c r="BG24" s="165"/>
      <c r="BH24" s="165"/>
      <c r="BI24" s="165"/>
      <c r="BJ24" s="165"/>
      <c r="BK24" s="165"/>
      <c r="BL24" s="166"/>
      <c r="BM24" s="165"/>
      <c r="BN24" s="165"/>
      <c r="BO24" s="165"/>
      <c r="BP24" s="165"/>
      <c r="BQ24" s="826"/>
      <c r="BR24" s="826"/>
      <c r="BS24" s="826"/>
    </row>
    <row r="25" spans="1:71" ht="14.5" customHeight="1" x14ac:dyDescent="0.2">
      <c r="A25" s="417" t="s">
        <v>203</v>
      </c>
      <c r="B25" s="417"/>
      <c r="C25" s="417"/>
      <c r="E25" s="912" t="s">
        <v>1197</v>
      </c>
      <c r="F25" s="899">
        <v>1203.1000000000001</v>
      </c>
      <c r="G25" s="597">
        <v>1135</v>
      </c>
      <c r="H25" s="404"/>
      <c r="I25" s="415" t="s">
        <v>85</v>
      </c>
      <c r="J25" s="415"/>
      <c r="K25" s="415"/>
      <c r="M25" s="415" t="s">
        <v>185</v>
      </c>
      <c r="N25" s="415">
        <v>0</v>
      </c>
      <c r="O25" s="415"/>
      <c r="Q25" s="405" t="s">
        <v>577</v>
      </c>
      <c r="R25" s="899">
        <v>1200.98</v>
      </c>
      <c r="S25" s="597">
        <v>1133</v>
      </c>
      <c r="T25" s="393">
        <f t="shared" si="4"/>
        <v>1273.0388</v>
      </c>
      <c r="U25" s="405" t="s">
        <v>844</v>
      </c>
      <c r="V25" s="916">
        <v>0</v>
      </c>
      <c r="W25" s="597">
        <v>0</v>
      </c>
      <c r="Y25" s="393" t="s">
        <v>384</v>
      </c>
      <c r="Z25" s="406" t="s">
        <v>276</v>
      </c>
      <c r="AA25" s="916">
        <v>5839.4976000000006</v>
      </c>
      <c r="AB25" s="597">
        <v>5508.96</v>
      </c>
      <c r="AC25" s="395">
        <v>4</v>
      </c>
      <c r="AD25" s="406" t="s">
        <v>248</v>
      </c>
      <c r="AE25" s="395">
        <v>8</v>
      </c>
      <c r="AF25" s="396">
        <f>IF(AD25="S",AC25*#REF!*AE25,AC25*$AD$3*AE25)</f>
        <v>6.4</v>
      </c>
      <c r="AJ25" s="1057"/>
      <c r="AL25" s="408" t="s">
        <v>447</v>
      </c>
      <c r="AM25" s="916">
        <v>0</v>
      </c>
      <c r="AN25" s="601">
        <v>0</v>
      </c>
      <c r="AO25" s="1058"/>
      <c r="AP25" s="405" t="s">
        <v>642</v>
      </c>
      <c r="AQ25" s="394">
        <f>AR25+(POLLUSTOP!$G$42*1.15)</f>
        <v>6952.54</v>
      </c>
      <c r="AR25" s="923">
        <v>6952.54</v>
      </c>
      <c r="AS25" s="595">
        <v>6559</v>
      </c>
      <c r="AU25" s="423" t="s">
        <v>54</v>
      </c>
      <c r="AV25" s="424"/>
      <c r="AW25" s="425" t="s">
        <v>437</v>
      </c>
      <c r="AX25" s="423"/>
      <c r="AY25" s="1065"/>
      <c r="BB25" s="825"/>
      <c r="BC25" s="825"/>
      <c r="BD25" s="817"/>
      <c r="BE25" s="810"/>
      <c r="BF25" s="166"/>
      <c r="BG25" s="165"/>
      <c r="BH25" s="165"/>
      <c r="BI25" s="165"/>
      <c r="BJ25" s="165"/>
      <c r="BK25" s="165"/>
      <c r="BL25" s="166"/>
      <c r="BM25" s="165"/>
      <c r="BN25" s="165"/>
      <c r="BO25" s="165"/>
      <c r="BP25" s="165"/>
      <c r="BQ25" s="826"/>
      <c r="BR25" s="826"/>
      <c r="BS25" s="826"/>
    </row>
    <row r="26" spans="1:71" ht="14.5" customHeight="1" x14ac:dyDescent="0.2">
      <c r="A26" s="393" t="s">
        <v>526</v>
      </c>
      <c r="B26" s="899">
        <v>108.2578</v>
      </c>
      <c r="C26" s="597">
        <v>102.13</v>
      </c>
      <c r="E26" s="912" t="s">
        <v>1198</v>
      </c>
      <c r="F26" s="899">
        <v>344.5</v>
      </c>
      <c r="G26" s="597">
        <v>325</v>
      </c>
      <c r="H26" s="404"/>
      <c r="I26" s="405" t="s">
        <v>706</v>
      </c>
      <c r="J26" s="899">
        <v>1331.3600000000001</v>
      </c>
      <c r="K26" s="597">
        <v>1256</v>
      </c>
      <c r="M26" s="405" t="s">
        <v>803</v>
      </c>
      <c r="N26" s="394">
        <v>0</v>
      </c>
      <c r="Q26" s="405" t="s">
        <v>578</v>
      </c>
      <c r="R26" s="899">
        <v>1419.3400000000001</v>
      </c>
      <c r="S26" s="597">
        <v>1339</v>
      </c>
      <c r="T26" s="393">
        <f t="shared" si="4"/>
        <v>1504.5004000000001</v>
      </c>
      <c r="U26" s="405" t="s">
        <v>845</v>
      </c>
      <c r="V26" s="916">
        <v>5813.35</v>
      </c>
      <c r="W26" s="597">
        <v>5669.54</v>
      </c>
      <c r="Y26" s="393" t="s">
        <v>385</v>
      </c>
      <c r="Z26" s="406" t="s">
        <v>277</v>
      </c>
      <c r="AA26" s="916">
        <v>6527.6178000000009</v>
      </c>
      <c r="AB26" s="597">
        <v>6158.13</v>
      </c>
      <c r="AC26" s="395">
        <v>4</v>
      </c>
      <c r="AD26" s="406" t="s">
        <v>248</v>
      </c>
      <c r="AE26" s="395">
        <v>9</v>
      </c>
      <c r="AF26" s="396">
        <f>IF(AD26="S",AC26*#REF!*AE26,AC26*$AD$3*AE26)</f>
        <v>7.2</v>
      </c>
      <c r="AJ26" s="1057"/>
      <c r="AM26" s="394"/>
      <c r="AP26" s="405" t="s">
        <v>643</v>
      </c>
      <c r="AQ26" s="394">
        <f>AR26+(POLLUSTOP!$G$42*1.15)</f>
        <v>7044.76</v>
      </c>
      <c r="AR26" s="923">
        <v>7044.76</v>
      </c>
      <c r="AS26" s="595">
        <v>6646</v>
      </c>
      <c r="AU26" s="423"/>
      <c r="AV26" s="424"/>
      <c r="AW26" s="425"/>
      <c r="AX26" s="423"/>
      <c r="AY26" s="1065"/>
      <c r="BB26" s="825"/>
      <c r="BC26" s="825"/>
      <c r="BD26" s="817"/>
      <c r="BE26" s="810"/>
      <c r="BF26" s="166"/>
      <c r="BG26" s="165"/>
      <c r="BH26" s="165"/>
      <c r="BI26" s="165"/>
      <c r="BJ26" s="165"/>
      <c r="BK26" s="165"/>
      <c r="BL26" s="166"/>
      <c r="BM26" s="165"/>
      <c r="BN26" s="165"/>
      <c r="BO26" s="165"/>
      <c r="BP26" s="165"/>
      <c r="BQ26" s="826"/>
      <c r="BR26" s="826"/>
      <c r="BS26" s="826"/>
    </row>
    <row r="27" spans="1:71" ht="14.5" customHeight="1" x14ac:dyDescent="0.2">
      <c r="A27" s="393" t="s">
        <v>437</v>
      </c>
      <c r="E27" s="912" t="s">
        <v>1199</v>
      </c>
      <c r="F27" s="899">
        <v>940.22</v>
      </c>
      <c r="G27" s="597">
        <v>887</v>
      </c>
      <c r="H27" s="404"/>
      <c r="I27" s="405" t="s">
        <v>812</v>
      </c>
      <c r="J27" s="899">
        <v>1365.28</v>
      </c>
      <c r="K27" s="597">
        <v>1288</v>
      </c>
      <c r="M27" s="405" t="s">
        <v>705</v>
      </c>
      <c r="N27" s="394">
        <v>0</v>
      </c>
      <c r="Q27" s="405" t="s">
        <v>579</v>
      </c>
      <c r="R27" s="899">
        <v>1556.0800000000002</v>
      </c>
      <c r="S27" s="597">
        <v>1468</v>
      </c>
      <c r="T27" s="393">
        <f t="shared" si="4"/>
        <v>1649.4448000000002</v>
      </c>
      <c r="U27" s="405" t="s">
        <v>836</v>
      </c>
      <c r="V27" s="916"/>
      <c r="W27" s="597"/>
      <c r="Y27" s="393" t="s">
        <v>386</v>
      </c>
      <c r="Z27" s="406" t="s">
        <v>278</v>
      </c>
      <c r="AA27" s="916">
        <v>7215.7380000000003</v>
      </c>
      <c r="AB27" s="597">
        <v>6807.3</v>
      </c>
      <c r="AC27" s="395">
        <v>4</v>
      </c>
      <c r="AD27" s="406" t="s">
        <v>248</v>
      </c>
      <c r="AE27" s="395">
        <v>10</v>
      </c>
      <c r="AF27" s="396">
        <f>IF(AD27="S",AC27*#REF!*AE27,AC27*$AD$3*AE27)</f>
        <v>8</v>
      </c>
      <c r="AJ27" s="1057"/>
      <c r="AK27" s="415" t="s">
        <v>123</v>
      </c>
      <c r="AL27" s="415"/>
      <c r="AM27" s="415"/>
      <c r="AN27" s="415"/>
      <c r="AP27" s="405" t="s">
        <v>644</v>
      </c>
      <c r="AQ27" s="394">
        <f>AR27+(POLLUSTOP!$G$43*1.15)</f>
        <v>8531.94</v>
      </c>
      <c r="AR27" s="923">
        <v>8531.94</v>
      </c>
      <c r="AS27" s="595">
        <v>8049</v>
      </c>
      <c r="AU27" s="821" t="s">
        <v>890</v>
      </c>
      <c r="AV27" s="822"/>
      <c r="AW27" s="823"/>
      <c r="AX27" s="824"/>
      <c r="BB27" s="825"/>
      <c r="BC27" s="825"/>
      <c r="BD27" s="817"/>
      <c r="BE27" s="810"/>
      <c r="BF27" s="166"/>
      <c r="BG27" s="165"/>
      <c r="BH27" s="165"/>
      <c r="BI27" s="165"/>
      <c r="BJ27" s="165"/>
      <c r="BK27" s="165"/>
      <c r="BL27" s="166"/>
      <c r="BM27" s="165"/>
      <c r="BN27" s="165"/>
      <c r="BO27" s="165"/>
      <c r="BP27" s="165"/>
      <c r="BQ27" s="826"/>
      <c r="BR27" s="826"/>
      <c r="BS27" s="826"/>
    </row>
    <row r="28" spans="1:71" ht="14.5" customHeight="1" x14ac:dyDescent="0.2">
      <c r="A28" s="417" t="s">
        <v>43</v>
      </c>
      <c r="B28" s="417"/>
      <c r="C28" s="417"/>
      <c r="E28" s="912" t="s">
        <v>1161</v>
      </c>
      <c r="F28" s="899">
        <v>630.70000000000005</v>
      </c>
      <c r="G28" s="597">
        <v>595</v>
      </c>
      <c r="H28" s="404"/>
      <c r="I28" s="405" t="s">
        <v>813</v>
      </c>
      <c r="J28" s="899">
        <v>1565.6200000000001</v>
      </c>
      <c r="K28" s="597">
        <v>1477</v>
      </c>
      <c r="M28" s="859" t="s">
        <v>977</v>
      </c>
      <c r="N28" s="394">
        <v>0</v>
      </c>
      <c r="Q28" s="405" t="s">
        <v>580</v>
      </c>
      <c r="R28" s="899">
        <v>1856.0600000000002</v>
      </c>
      <c r="S28" s="597">
        <v>1751</v>
      </c>
      <c r="T28" s="393">
        <f t="shared" si="4"/>
        <v>1967.4236000000003</v>
      </c>
      <c r="U28" s="405" t="s">
        <v>837</v>
      </c>
      <c r="V28" s="916"/>
      <c r="W28" s="597"/>
      <c r="Y28" s="393" t="s">
        <v>387</v>
      </c>
      <c r="Z28" s="406" t="s">
        <v>279</v>
      </c>
      <c r="AA28" s="916">
        <v>7903.8582000000006</v>
      </c>
      <c r="AB28" s="597">
        <v>7456.47</v>
      </c>
      <c r="AC28" s="395">
        <v>4</v>
      </c>
      <c r="AD28" s="406" t="s">
        <v>248</v>
      </c>
      <c r="AE28" s="395">
        <v>11</v>
      </c>
      <c r="AF28" s="396">
        <f>IF(AD28="S",AC28*#REF!*AE28,AC28*$AD$3*AE28)</f>
        <v>8.8000000000000007</v>
      </c>
      <c r="AJ28" s="1057"/>
      <c r="AK28" s="417" t="s">
        <v>106</v>
      </c>
      <c r="AL28" s="417" t="s">
        <v>437</v>
      </c>
      <c r="AM28" s="417"/>
      <c r="AN28" s="415"/>
      <c r="AP28" s="405" t="s">
        <v>645</v>
      </c>
      <c r="AQ28" s="394">
        <f>AR28+(POLLUSTOP!$G$43*1.15)</f>
        <v>9407.5</v>
      </c>
      <c r="AR28" s="923">
        <v>9407.5</v>
      </c>
      <c r="AS28" s="595">
        <v>8875</v>
      </c>
      <c r="AU28" s="825" t="s">
        <v>891</v>
      </c>
      <c r="AV28" s="822"/>
      <c r="AW28" s="823"/>
      <c r="AX28" s="922">
        <v>273.08780000000002</v>
      </c>
      <c r="AY28" s="600">
        <v>257.63</v>
      </c>
      <c r="BB28" s="825"/>
      <c r="BC28" s="825"/>
      <c r="BD28" s="817"/>
      <c r="BE28" s="810"/>
      <c r="BF28" s="166"/>
      <c r="BG28" s="165"/>
      <c r="BH28" s="165"/>
      <c r="BI28" s="165"/>
      <c r="BJ28" s="165"/>
      <c r="BK28" s="165"/>
      <c r="BL28" s="166"/>
      <c r="BM28" s="165"/>
      <c r="BN28" s="165"/>
      <c r="BO28" s="165"/>
      <c r="BP28" s="165"/>
      <c r="BQ28" s="826"/>
      <c r="BR28" s="826"/>
      <c r="BS28" s="826"/>
    </row>
    <row r="29" spans="1:71" ht="14.5" customHeight="1" x14ac:dyDescent="0.2">
      <c r="A29" s="393" t="s">
        <v>527</v>
      </c>
      <c r="B29" s="899">
        <v>116.60000000000001</v>
      </c>
      <c r="C29" s="597">
        <v>110</v>
      </c>
      <c r="E29" s="912" t="s">
        <v>1200</v>
      </c>
      <c r="F29" s="899">
        <v>376.3</v>
      </c>
      <c r="G29" s="597">
        <v>355</v>
      </c>
      <c r="H29" s="404"/>
      <c r="I29" s="405" t="s">
        <v>814</v>
      </c>
      <c r="J29" s="899">
        <v>2280.06</v>
      </c>
      <c r="K29" s="597">
        <v>2151</v>
      </c>
      <c r="M29" s="405" t="s">
        <v>875</v>
      </c>
      <c r="N29" s="394">
        <v>0</v>
      </c>
      <c r="Q29" s="405" t="s">
        <v>581</v>
      </c>
      <c r="R29" s="899">
        <v>793.94</v>
      </c>
      <c r="S29" s="597">
        <v>749</v>
      </c>
      <c r="T29" s="393">
        <f t="shared" si="4"/>
        <v>841.57640000000015</v>
      </c>
      <c r="U29" s="405" t="s">
        <v>838</v>
      </c>
      <c r="V29" s="916"/>
      <c r="W29" s="597"/>
      <c r="Y29" s="393" t="s">
        <v>388</v>
      </c>
      <c r="Z29" s="406" t="s">
        <v>280</v>
      </c>
      <c r="AA29" s="916">
        <v>8591.9784</v>
      </c>
      <c r="AB29" s="597">
        <v>8105.64</v>
      </c>
      <c r="AC29" s="395">
        <v>4</v>
      </c>
      <c r="AD29" s="406" t="s">
        <v>248</v>
      </c>
      <c r="AE29" s="395">
        <v>12</v>
      </c>
      <c r="AF29" s="396">
        <f>IF(AD29="S",AC29*#REF!*AE29,AC29*$AD$3*AE29)</f>
        <v>9.6000000000000014</v>
      </c>
      <c r="AJ29" s="1057"/>
      <c r="AK29" s="812" t="s">
        <v>1336</v>
      </c>
      <c r="AL29" s="812" t="s">
        <v>1337</v>
      </c>
      <c r="AM29" s="916">
        <v>1374.1734000000001</v>
      </c>
      <c r="AN29" s="595">
        <v>1296.3900000000001</v>
      </c>
      <c r="AO29" s="601"/>
      <c r="AP29" s="405" t="s">
        <v>646</v>
      </c>
      <c r="AQ29" s="394">
        <f>AR29+(POLLUSTOP!$G$43*1.15)</f>
        <v>11249.78</v>
      </c>
      <c r="AR29" s="923">
        <v>11249.78</v>
      </c>
      <c r="AS29" s="595">
        <v>10613</v>
      </c>
      <c r="AU29" s="825" t="s">
        <v>892</v>
      </c>
      <c r="AV29" s="822"/>
      <c r="AW29" s="823"/>
      <c r="AX29" s="922">
        <v>300.34039999999999</v>
      </c>
      <c r="AY29" s="600">
        <v>283.33999999999997</v>
      </c>
      <c r="BB29" s="825"/>
      <c r="BC29" s="825"/>
      <c r="BD29" s="817"/>
      <c r="BE29" s="810"/>
      <c r="BF29" s="166"/>
      <c r="BG29" s="165"/>
      <c r="BH29" s="165"/>
      <c r="BI29" s="165"/>
      <c r="BJ29" s="165"/>
      <c r="BK29" s="165"/>
      <c r="BL29" s="166"/>
      <c r="BM29" s="165"/>
      <c r="BN29" s="165"/>
      <c r="BO29" s="165"/>
      <c r="BP29" s="165"/>
      <c r="BQ29" s="826"/>
      <c r="BR29" s="826"/>
      <c r="BS29" s="826"/>
    </row>
    <row r="30" spans="1:71" ht="14.5" customHeight="1" x14ac:dyDescent="0.2">
      <c r="A30" s="393" t="s">
        <v>437</v>
      </c>
      <c r="E30" s="912" t="s">
        <v>1201</v>
      </c>
      <c r="F30" s="899">
        <v>940.22</v>
      </c>
      <c r="G30" s="597">
        <v>887</v>
      </c>
      <c r="H30" s="404"/>
      <c r="I30" s="405" t="s">
        <v>815</v>
      </c>
      <c r="J30" s="899">
        <v>2629.86</v>
      </c>
      <c r="K30" s="597">
        <v>2481</v>
      </c>
      <c r="Q30" s="405" t="s">
        <v>582</v>
      </c>
      <c r="R30" s="899">
        <v>877.68000000000006</v>
      </c>
      <c r="S30" s="597">
        <v>828</v>
      </c>
      <c r="T30" s="393">
        <f t="shared" si="4"/>
        <v>930.34080000000006</v>
      </c>
      <c r="U30" s="405" t="s">
        <v>832</v>
      </c>
      <c r="V30" s="916">
        <v>7201.18</v>
      </c>
      <c r="W30" s="597">
        <v>7024.67</v>
      </c>
      <c r="Y30" s="393" t="s">
        <v>389</v>
      </c>
      <c r="Z30" s="406" t="s">
        <v>281</v>
      </c>
      <c r="AA30" s="916">
        <v>1081.6451999999999</v>
      </c>
      <c r="AB30" s="597">
        <v>1020.42</v>
      </c>
      <c r="AC30" s="395">
        <v>6</v>
      </c>
      <c r="AD30" s="406" t="s">
        <v>246</v>
      </c>
      <c r="AE30" s="395">
        <v>1</v>
      </c>
      <c r="AF30" s="396">
        <f>IF(AD30="S",AC30*$AD$1*AE30,AC30*$AD$3*AE30)</f>
        <v>0.60000000000000009</v>
      </c>
      <c r="AJ30" s="1057"/>
      <c r="AK30" s="812" t="s">
        <v>1330</v>
      </c>
      <c r="AL30" s="812" t="s">
        <v>1339</v>
      </c>
      <c r="AM30" s="916">
        <v>281.43</v>
      </c>
      <c r="AN30" s="595">
        <v>265.5</v>
      </c>
      <c r="AO30" s="601"/>
      <c r="AP30" s="405" t="s">
        <v>647</v>
      </c>
      <c r="AQ30" s="394">
        <f>AR30+(POLLUSTOP!$G$44*1.15)</f>
        <v>13001.960000000001</v>
      </c>
      <c r="AR30" s="923">
        <v>13001.960000000001</v>
      </c>
      <c r="AS30" s="595">
        <v>12266</v>
      </c>
      <c r="AU30" s="825" t="s">
        <v>893</v>
      </c>
      <c r="AV30" s="822"/>
      <c r="AW30" s="823"/>
      <c r="AX30" s="922">
        <v>311.77780000000001</v>
      </c>
      <c r="AY30" s="600">
        <v>294.13</v>
      </c>
      <c r="BB30" s="825"/>
      <c r="BC30" s="825"/>
      <c r="BD30" s="817"/>
      <c r="BE30" s="810"/>
      <c r="BF30" s="166"/>
      <c r="BG30" s="165"/>
      <c r="BH30" s="165"/>
      <c r="BI30" s="165"/>
      <c r="BJ30" s="165"/>
      <c r="BK30" s="165"/>
      <c r="BL30" s="166"/>
      <c r="BM30" s="165"/>
      <c r="BN30" s="165"/>
      <c r="BO30" s="165"/>
      <c r="BP30" s="165"/>
      <c r="BQ30" s="826"/>
      <c r="BR30" s="826"/>
      <c r="BS30" s="826"/>
    </row>
    <row r="31" spans="1:71" ht="14.5" customHeight="1" x14ac:dyDescent="0.2">
      <c r="A31" s="393" t="s">
        <v>437</v>
      </c>
      <c r="E31" s="912" t="s">
        <v>1128</v>
      </c>
      <c r="F31" s="899">
        <v>943.40000000000009</v>
      </c>
      <c r="G31" s="597">
        <v>890</v>
      </c>
      <c r="H31" s="404"/>
      <c r="I31" s="405" t="s">
        <v>816</v>
      </c>
      <c r="J31" s="899">
        <v>2799.46</v>
      </c>
      <c r="K31" s="597">
        <v>2641</v>
      </c>
      <c r="M31" s="415" t="s">
        <v>126</v>
      </c>
      <c r="N31" s="415"/>
      <c r="O31" s="415"/>
      <c r="Q31" s="405" t="s">
        <v>583</v>
      </c>
      <c r="R31" s="899">
        <v>992.16000000000008</v>
      </c>
      <c r="S31" s="597">
        <v>936</v>
      </c>
      <c r="T31" s="393">
        <f t="shared" si="4"/>
        <v>1051.6896000000002</v>
      </c>
      <c r="U31" s="405" t="s">
        <v>846</v>
      </c>
      <c r="V31" s="916">
        <v>0</v>
      </c>
      <c r="W31" s="597">
        <v>0</v>
      </c>
      <c r="Y31" s="393" t="s">
        <v>390</v>
      </c>
      <c r="Z31" s="406" t="s">
        <v>282</v>
      </c>
      <c r="AA31" s="916">
        <v>1828.8710000000001</v>
      </c>
      <c r="AB31" s="597">
        <v>1725.35</v>
      </c>
      <c r="AC31" s="395">
        <v>6</v>
      </c>
      <c r="AD31" s="406" t="s">
        <v>246</v>
      </c>
      <c r="AE31" s="395">
        <v>2</v>
      </c>
      <c r="AF31" s="396">
        <f t="shared" ref="AF31:AF41" si="5">IF(AD31="S",AC31*$AD$1*AE31,AC31*$AD$3*AE31)</f>
        <v>1.2000000000000002</v>
      </c>
      <c r="AJ31" s="1057"/>
      <c r="AK31" s="393" t="s">
        <v>107</v>
      </c>
      <c r="AL31" s="812" t="s">
        <v>1338</v>
      </c>
      <c r="AM31" s="916">
        <v>69.37700000000001</v>
      </c>
      <c r="AN31" s="595">
        <v>65.45</v>
      </c>
      <c r="AO31" s="601"/>
      <c r="AP31" s="405"/>
      <c r="AU31" s="825" t="s">
        <v>894</v>
      </c>
      <c r="AV31" s="822"/>
      <c r="AW31" s="823"/>
      <c r="AX31" s="922">
        <v>353.49940000000004</v>
      </c>
      <c r="AY31" s="600">
        <v>333.49</v>
      </c>
      <c r="BB31" s="825"/>
      <c r="BC31" s="825"/>
      <c r="BD31" s="817"/>
      <c r="BE31" s="810"/>
      <c r="BF31" s="166"/>
      <c r="BG31" s="165"/>
      <c r="BH31" s="165"/>
      <c r="BI31" s="165"/>
      <c r="BJ31" s="165"/>
      <c r="BK31" s="165"/>
      <c r="BL31" s="166"/>
      <c r="BM31" s="165"/>
      <c r="BN31" s="165"/>
      <c r="BO31" s="165"/>
      <c r="BP31" s="165"/>
      <c r="BQ31" s="826"/>
      <c r="BR31" s="826"/>
      <c r="BS31" s="826"/>
    </row>
    <row r="32" spans="1:71" ht="14.5" customHeight="1" x14ac:dyDescent="0.2">
      <c r="A32" s="417" t="s">
        <v>348</v>
      </c>
      <c r="B32" s="418">
        <v>1</v>
      </c>
      <c r="C32" s="418"/>
      <c r="E32" s="912" t="s">
        <v>1202</v>
      </c>
      <c r="F32" s="899">
        <v>540.6</v>
      </c>
      <c r="G32" s="597">
        <v>510</v>
      </c>
      <c r="H32" s="404"/>
      <c r="M32" s="395">
        <v>1000</v>
      </c>
      <c r="N32" s="394" t="s">
        <v>116</v>
      </c>
      <c r="Q32" s="405" t="s">
        <v>584</v>
      </c>
      <c r="R32" s="899">
        <v>1055.76</v>
      </c>
      <c r="S32" s="597">
        <v>996</v>
      </c>
      <c r="T32" s="393">
        <f t="shared" si="4"/>
        <v>1119.1056000000001</v>
      </c>
      <c r="U32" s="405" t="s">
        <v>847</v>
      </c>
      <c r="V32" s="916">
        <v>7201.18</v>
      </c>
      <c r="W32" s="597">
        <v>7024.67</v>
      </c>
      <c r="Y32" s="393" t="s">
        <v>391</v>
      </c>
      <c r="Z32" s="406" t="s">
        <v>283</v>
      </c>
      <c r="AA32" s="916">
        <v>2576.0968000000003</v>
      </c>
      <c r="AB32" s="597">
        <v>2430.2800000000002</v>
      </c>
      <c r="AC32" s="395">
        <v>6</v>
      </c>
      <c r="AD32" s="406" t="s">
        <v>246</v>
      </c>
      <c r="AE32" s="395">
        <v>3</v>
      </c>
      <c r="AF32" s="396">
        <f t="shared" si="5"/>
        <v>1.8000000000000003</v>
      </c>
      <c r="AJ32" s="1057"/>
      <c r="AK32" s="812"/>
      <c r="AL32" s="812"/>
      <c r="AM32" s="916">
        <v>0</v>
      </c>
      <c r="AN32" s="595"/>
      <c r="AO32" s="601"/>
      <c r="AP32" s="423" t="s">
        <v>92</v>
      </c>
      <c r="AQ32" s="417"/>
      <c r="AR32" s="417"/>
      <c r="AS32" s="417"/>
      <c r="AU32" s="825" t="s">
        <v>894</v>
      </c>
      <c r="AV32" s="822"/>
      <c r="AW32" s="823"/>
      <c r="AX32" s="922">
        <v>485.16200000000003</v>
      </c>
      <c r="AY32" s="600">
        <v>457.7</v>
      </c>
      <c r="BB32" s="861"/>
      <c r="BC32" s="825"/>
      <c r="BD32" s="817"/>
      <c r="BE32" s="810"/>
      <c r="BF32" s="166"/>
      <c r="BG32" s="165"/>
      <c r="BH32" s="165"/>
      <c r="BI32" s="165"/>
      <c r="BJ32" s="165"/>
      <c r="BK32" s="165"/>
      <c r="BL32" s="166"/>
      <c r="BM32" s="165"/>
      <c r="BN32" s="165"/>
      <c r="BO32" s="165"/>
      <c r="BP32" s="165"/>
      <c r="BQ32" s="826"/>
      <c r="BR32" s="826"/>
      <c r="BS32" s="826"/>
    </row>
    <row r="33" spans="1:71" ht="14.5" customHeight="1" x14ac:dyDescent="0.2">
      <c r="A33" s="405" t="s">
        <v>349</v>
      </c>
      <c r="B33" s="401">
        <v>0</v>
      </c>
      <c r="C33" s="401"/>
      <c r="E33" s="912" t="s">
        <v>1114</v>
      </c>
      <c r="F33" s="899">
        <v>938.1</v>
      </c>
      <c r="G33" s="597">
        <v>885</v>
      </c>
      <c r="H33" s="404"/>
      <c r="I33" s="415" t="s">
        <v>84</v>
      </c>
      <c r="J33" s="415"/>
      <c r="K33" s="415"/>
      <c r="M33" s="395">
        <v>1250</v>
      </c>
      <c r="N33" s="394" t="s">
        <v>117</v>
      </c>
      <c r="Q33" s="405" t="s">
        <v>574</v>
      </c>
      <c r="R33" s="899">
        <v>390.08000000000004</v>
      </c>
      <c r="S33" s="597">
        <v>368</v>
      </c>
      <c r="T33" s="393">
        <f t="shared" si="4"/>
        <v>413.48480000000006</v>
      </c>
      <c r="U33" s="405" t="s">
        <v>836</v>
      </c>
      <c r="V33" s="916"/>
      <c r="W33" s="597"/>
      <c r="Y33" s="393" t="s">
        <v>392</v>
      </c>
      <c r="Z33" s="406" t="s">
        <v>284</v>
      </c>
      <c r="AA33" s="916">
        <v>3323.3226000000004</v>
      </c>
      <c r="AB33" s="597">
        <v>3135.21</v>
      </c>
      <c r="AC33" s="395">
        <v>6</v>
      </c>
      <c r="AD33" s="406" t="s">
        <v>246</v>
      </c>
      <c r="AE33" s="395">
        <v>4</v>
      </c>
      <c r="AF33" s="396">
        <f t="shared" si="5"/>
        <v>2.4000000000000004</v>
      </c>
      <c r="AJ33" s="1057"/>
      <c r="AK33" s="812" t="s">
        <v>1311</v>
      </c>
      <c r="AL33" s="812"/>
      <c r="AM33" s="916">
        <v>50</v>
      </c>
      <c r="AN33" s="595">
        <v>50</v>
      </c>
      <c r="AO33" s="601"/>
      <c r="AP33" s="414" t="s">
        <v>77</v>
      </c>
      <c r="AQ33" s="394">
        <v>0</v>
      </c>
      <c r="AR33" s="901"/>
      <c r="AS33" s="901"/>
      <c r="AU33" s="825" t="s">
        <v>895</v>
      </c>
      <c r="AV33" s="822"/>
      <c r="AW33" s="823"/>
      <c r="AX33" s="922">
        <v>543.89660000000003</v>
      </c>
      <c r="AY33" s="600">
        <v>513.11</v>
      </c>
      <c r="BB33" s="825"/>
      <c r="BC33" s="825"/>
      <c r="BD33" s="817"/>
      <c r="BE33" s="810"/>
      <c r="BF33" s="166"/>
      <c r="BG33" s="165"/>
      <c r="BH33" s="165"/>
      <c r="BI33" s="165"/>
      <c r="BJ33" s="165"/>
      <c r="BK33" s="165"/>
      <c r="BL33" s="165"/>
      <c r="BM33" s="165"/>
      <c r="BN33" s="165"/>
      <c r="BO33" s="165"/>
      <c r="BP33" s="165"/>
      <c r="BQ33" s="826"/>
      <c r="BR33" s="826"/>
      <c r="BS33" s="826"/>
    </row>
    <row r="34" spans="1:71" ht="14.5" customHeight="1" x14ac:dyDescent="0.2">
      <c r="A34" s="405" t="s">
        <v>350</v>
      </c>
      <c r="B34" s="401">
        <v>0</v>
      </c>
      <c r="C34" s="401"/>
      <c r="E34" s="912" t="s">
        <v>1203</v>
      </c>
      <c r="F34" s="899">
        <v>478.06</v>
      </c>
      <c r="G34" s="597">
        <v>451</v>
      </c>
      <c r="H34" s="404"/>
      <c r="I34" s="393" t="s">
        <v>83</v>
      </c>
      <c r="J34" s="899">
        <v>429.3</v>
      </c>
      <c r="K34" s="597">
        <v>405</v>
      </c>
      <c r="M34" s="395">
        <v>1500</v>
      </c>
      <c r="N34" s="394" t="s">
        <v>117</v>
      </c>
      <c r="S34" s="394"/>
      <c r="U34" s="405" t="s">
        <v>837</v>
      </c>
      <c r="V34" s="916"/>
      <c r="W34" s="597"/>
      <c r="Y34" s="393" t="s">
        <v>393</v>
      </c>
      <c r="Z34" s="406" t="s">
        <v>285</v>
      </c>
      <c r="AA34" s="916">
        <v>4070.5484000000001</v>
      </c>
      <c r="AB34" s="597">
        <v>3840.14</v>
      </c>
      <c r="AC34" s="395">
        <v>6</v>
      </c>
      <c r="AD34" s="406" t="s">
        <v>246</v>
      </c>
      <c r="AE34" s="395">
        <v>5</v>
      </c>
      <c r="AF34" s="396">
        <f t="shared" si="5"/>
        <v>3.0000000000000004</v>
      </c>
      <c r="AJ34" s="1057"/>
      <c r="AK34" s="812" t="s">
        <v>1340</v>
      </c>
      <c r="AM34" s="916">
        <v>362.65780000000001</v>
      </c>
      <c r="AN34" s="595">
        <v>342.13</v>
      </c>
      <c r="AO34" s="601"/>
      <c r="AP34" s="414" t="s">
        <v>648</v>
      </c>
      <c r="AQ34" s="394">
        <f>(POLLUSTOP!$G$39*0.79)+AR34</f>
        <v>708.08</v>
      </c>
      <c r="AR34" s="923">
        <v>708.08</v>
      </c>
      <c r="AS34" s="595">
        <v>668</v>
      </c>
      <c r="AU34" s="825" t="s">
        <v>896</v>
      </c>
      <c r="AV34" s="822"/>
      <c r="AW34" s="823"/>
      <c r="AX34" s="922">
        <v>809.4054000000001</v>
      </c>
      <c r="AY34" s="600">
        <v>763.59</v>
      </c>
      <c r="BB34" s="825"/>
      <c r="BC34" s="825"/>
      <c r="BD34" s="817"/>
      <c r="BE34" s="810"/>
      <c r="BF34" s="166"/>
      <c r="BG34" s="165"/>
      <c r="BH34" s="165"/>
      <c r="BI34" s="165"/>
      <c r="BJ34" s="165"/>
      <c r="BK34" s="165"/>
      <c r="BL34" s="165"/>
      <c r="BM34" s="165"/>
      <c r="BN34" s="165"/>
      <c r="BO34" s="165"/>
      <c r="BP34" s="165"/>
      <c r="BQ34" s="826"/>
      <c r="BR34" s="826"/>
      <c r="BS34" s="826"/>
    </row>
    <row r="35" spans="1:71" ht="14.5" customHeight="1" x14ac:dyDescent="0.2">
      <c r="A35" s="405" t="s">
        <v>515</v>
      </c>
      <c r="B35" s="401">
        <v>0</v>
      </c>
      <c r="C35" s="401"/>
      <c r="E35" s="912" t="s">
        <v>1129</v>
      </c>
      <c r="F35" s="899">
        <v>901</v>
      </c>
      <c r="G35" s="597">
        <v>850</v>
      </c>
      <c r="H35" s="404"/>
      <c r="I35" s="393" t="s">
        <v>80</v>
      </c>
      <c r="J35" s="899">
        <v>430.36</v>
      </c>
      <c r="K35" s="597">
        <v>406</v>
      </c>
      <c r="M35" s="395">
        <v>1750</v>
      </c>
      <c r="N35" s="394" t="s">
        <v>118</v>
      </c>
      <c r="Q35" s="415" t="s">
        <v>714</v>
      </c>
      <c r="R35" s="415">
        <v>0</v>
      </c>
      <c r="S35" s="415">
        <v>0</v>
      </c>
      <c r="U35" s="405" t="s">
        <v>838</v>
      </c>
      <c r="V35" s="916"/>
      <c r="W35" s="597"/>
      <c r="Y35" s="393" t="s">
        <v>394</v>
      </c>
      <c r="Z35" s="406" t="s">
        <v>286</v>
      </c>
      <c r="AA35" s="916">
        <v>4817.7741999999998</v>
      </c>
      <c r="AB35" s="597">
        <v>4545.07</v>
      </c>
      <c r="AC35" s="395">
        <v>6</v>
      </c>
      <c r="AD35" s="406" t="s">
        <v>246</v>
      </c>
      <c r="AE35" s="395">
        <v>6</v>
      </c>
      <c r="AF35" s="396">
        <f t="shared" si="5"/>
        <v>3.6000000000000005</v>
      </c>
      <c r="AJ35" s="1057"/>
      <c r="AM35" s="1059">
        <v>0</v>
      </c>
      <c r="AN35" s="595">
        <v>0</v>
      </c>
      <c r="AO35" s="601"/>
      <c r="AP35" s="414" t="s">
        <v>649</v>
      </c>
      <c r="AQ35" s="394">
        <f>AR35+(POLLUSTOP!$G$40*0.79)</f>
        <v>2489.7700000000004</v>
      </c>
      <c r="AR35" s="923">
        <v>913.72</v>
      </c>
      <c r="AS35" s="595">
        <v>862</v>
      </c>
      <c r="AU35" s="825" t="s">
        <v>897</v>
      </c>
      <c r="AV35" s="822"/>
      <c r="AW35" s="823"/>
      <c r="AX35" s="922">
        <v>593.1866</v>
      </c>
      <c r="AY35" s="600">
        <v>559.61</v>
      </c>
      <c r="BB35" s="825"/>
      <c r="BC35" s="825"/>
      <c r="BD35" s="817"/>
      <c r="BE35" s="810"/>
      <c r="BF35" s="166"/>
      <c r="BG35" s="165"/>
      <c r="BH35" s="165"/>
      <c r="BI35" s="165"/>
      <c r="BJ35" s="165"/>
      <c r="BK35" s="165"/>
      <c r="BL35" s="165"/>
      <c r="BM35" s="165"/>
      <c r="BN35" s="165"/>
      <c r="BO35" s="165"/>
      <c r="BP35" s="165"/>
      <c r="BQ35" s="826"/>
      <c r="BR35" s="826"/>
      <c r="BS35" s="826"/>
    </row>
    <row r="36" spans="1:71" ht="14.5" customHeight="1" x14ac:dyDescent="0.2">
      <c r="A36" s="405"/>
      <c r="B36" s="401">
        <v>0</v>
      </c>
      <c r="C36" s="401"/>
      <c r="E36" s="912" t="s">
        <v>1204</v>
      </c>
      <c r="F36" s="899">
        <v>672.04000000000008</v>
      </c>
      <c r="G36" s="597">
        <v>634</v>
      </c>
      <c r="H36" s="404"/>
      <c r="I36" s="393" t="s">
        <v>81</v>
      </c>
      <c r="J36" s="899">
        <v>327.54000000000002</v>
      </c>
      <c r="K36" s="597">
        <v>309</v>
      </c>
      <c r="M36" s="395">
        <v>2000</v>
      </c>
      <c r="N36" s="394" t="s">
        <v>118</v>
      </c>
      <c r="Q36" s="452" t="s">
        <v>589</v>
      </c>
      <c r="R36" s="899">
        <v>778.33680000000004</v>
      </c>
      <c r="S36" s="597">
        <v>734.28</v>
      </c>
      <c r="T36" s="393">
        <f>R36*1.06</f>
        <v>825.03700800000013</v>
      </c>
      <c r="U36" s="405" t="s">
        <v>833</v>
      </c>
      <c r="V36" s="916">
        <v>8354.61</v>
      </c>
      <c r="W36" s="597">
        <v>8151.82</v>
      </c>
      <c r="Y36" s="393" t="s">
        <v>395</v>
      </c>
      <c r="Z36" s="406" t="s">
        <v>287</v>
      </c>
      <c r="AA36" s="916">
        <v>5565</v>
      </c>
      <c r="AB36" s="597">
        <v>5250</v>
      </c>
      <c r="AC36" s="395">
        <v>6</v>
      </c>
      <c r="AD36" s="406" t="s">
        <v>246</v>
      </c>
      <c r="AE36" s="395">
        <v>7</v>
      </c>
      <c r="AF36" s="396">
        <f t="shared" si="5"/>
        <v>4.2000000000000011</v>
      </c>
      <c r="AJ36" s="1057"/>
      <c r="AM36" s="1059">
        <v>0</v>
      </c>
      <c r="AN36" s="595">
        <v>0</v>
      </c>
      <c r="AO36" s="601"/>
      <c r="AP36" s="414" t="s">
        <v>650</v>
      </c>
      <c r="AQ36" s="394">
        <f>AR36+(POLLUSTOP!$G$41*0.79)</f>
        <v>2459.16</v>
      </c>
      <c r="AR36" s="923">
        <v>1029.26</v>
      </c>
      <c r="AS36" s="595">
        <v>971</v>
      </c>
      <c r="AU36" s="825" t="s">
        <v>898</v>
      </c>
      <c r="AV36" s="822"/>
      <c r="AW36" s="823"/>
      <c r="AX36" s="922">
        <v>620.43920000000003</v>
      </c>
      <c r="AY36" s="600">
        <v>585.32000000000005</v>
      </c>
      <c r="BB36" s="825"/>
      <c r="BC36" s="825"/>
      <c r="BD36" s="817"/>
      <c r="BE36" s="810"/>
      <c r="BF36" s="166"/>
      <c r="BG36" s="165"/>
      <c r="BH36" s="165"/>
      <c r="BI36" s="165"/>
      <c r="BJ36" s="165"/>
      <c r="BK36" s="165"/>
      <c r="BL36" s="165"/>
      <c r="BM36" s="165"/>
      <c r="BN36" s="165"/>
      <c r="BO36" s="165"/>
      <c r="BP36" s="165"/>
      <c r="BQ36" s="826"/>
      <c r="BR36" s="826"/>
      <c r="BS36" s="826"/>
    </row>
    <row r="37" spans="1:71" ht="14.5" customHeight="1" x14ac:dyDescent="0.2">
      <c r="A37" s="405" t="s">
        <v>516</v>
      </c>
      <c r="B37" s="400">
        <v>0</v>
      </c>
      <c r="C37" s="400"/>
      <c r="E37" s="912" t="s">
        <v>1120</v>
      </c>
      <c r="F37" s="899">
        <v>540.6</v>
      </c>
      <c r="G37" s="597">
        <v>510</v>
      </c>
      <c r="H37" s="404"/>
      <c r="I37" s="393" t="s">
        <v>82</v>
      </c>
      <c r="J37" s="899">
        <v>604.20000000000005</v>
      </c>
      <c r="K37" s="597">
        <v>570</v>
      </c>
      <c r="M37" s="395">
        <v>2250</v>
      </c>
      <c r="N37" s="394" t="s">
        <v>119</v>
      </c>
      <c r="Q37" s="452" t="s">
        <v>591</v>
      </c>
      <c r="R37" s="899">
        <v>873.94880000000012</v>
      </c>
      <c r="S37" s="597">
        <v>824.48</v>
      </c>
      <c r="T37" s="393">
        <f t="shared" ref="T37:T45" si="6">R37*1.06</f>
        <v>926.3857280000002</v>
      </c>
      <c r="U37" s="405" t="s">
        <v>848</v>
      </c>
      <c r="V37" s="916">
        <v>0</v>
      </c>
      <c r="W37" s="597">
        <v>0</v>
      </c>
      <c r="Y37" s="393" t="s">
        <v>396</v>
      </c>
      <c r="Z37" s="406" t="s">
        <v>288</v>
      </c>
      <c r="AA37" s="916">
        <v>6312.2258000000011</v>
      </c>
      <c r="AB37" s="597">
        <v>5954.93</v>
      </c>
      <c r="AC37" s="395">
        <v>6</v>
      </c>
      <c r="AD37" s="406" t="s">
        <v>246</v>
      </c>
      <c r="AE37" s="395">
        <v>8</v>
      </c>
      <c r="AF37" s="396">
        <f t="shared" si="5"/>
        <v>4.8000000000000007</v>
      </c>
      <c r="AJ37" s="1057"/>
      <c r="AK37" s="405" t="s">
        <v>1369</v>
      </c>
      <c r="AL37" s="405"/>
      <c r="AM37" s="916">
        <v>53</v>
      </c>
      <c r="AN37" s="595">
        <v>50</v>
      </c>
      <c r="AO37" s="601"/>
      <c r="AP37" s="414" t="s">
        <v>651</v>
      </c>
      <c r="AQ37" s="394">
        <f>AR37+(POLLUSTOP!$G$41*0.79)</f>
        <v>2533.36</v>
      </c>
      <c r="AR37" s="923">
        <v>1103.46</v>
      </c>
      <c r="AS37" s="595">
        <v>1041</v>
      </c>
      <c r="AU37" s="825" t="s">
        <v>899</v>
      </c>
      <c r="AV37" s="822"/>
      <c r="AW37" s="823"/>
      <c r="AX37" s="922">
        <v>631.87660000000005</v>
      </c>
      <c r="AY37" s="600">
        <v>596.11</v>
      </c>
      <c r="BB37" s="825"/>
      <c r="BC37" s="830"/>
      <c r="BD37" s="826"/>
      <c r="BE37" s="826"/>
      <c r="BF37" s="826"/>
      <c r="BG37" s="826"/>
      <c r="BH37" s="826"/>
      <c r="BI37" s="826"/>
      <c r="BJ37" s="826"/>
      <c r="BK37" s="826"/>
      <c r="BL37" s="826"/>
      <c r="BM37" s="826"/>
      <c r="BN37" s="826"/>
      <c r="BO37" s="826"/>
      <c r="BP37" s="826"/>
      <c r="BQ37" s="826"/>
      <c r="BR37" s="826"/>
      <c r="BS37" s="826"/>
    </row>
    <row r="38" spans="1:71" ht="14.5" customHeight="1" x14ac:dyDescent="0.2">
      <c r="E38" s="912" t="s">
        <v>1205</v>
      </c>
      <c r="F38" s="899">
        <v>578.76</v>
      </c>
      <c r="G38" s="597">
        <v>546</v>
      </c>
      <c r="H38" s="404"/>
      <c r="M38" s="395">
        <v>2500</v>
      </c>
      <c r="N38" s="394" t="s">
        <v>120</v>
      </c>
      <c r="Q38" s="452" t="s">
        <v>593</v>
      </c>
      <c r="R38" s="899">
        <v>1152.8453999999999</v>
      </c>
      <c r="S38" s="597">
        <v>1087.5899999999999</v>
      </c>
      <c r="T38" s="393">
        <f t="shared" si="6"/>
        <v>1222.016124</v>
      </c>
      <c r="U38" s="405" t="s">
        <v>849</v>
      </c>
      <c r="V38" s="916">
        <v>8354.61</v>
      </c>
      <c r="W38" s="597">
        <v>8151.82</v>
      </c>
      <c r="Y38" s="393" t="s">
        <v>397</v>
      </c>
      <c r="Z38" s="406" t="s">
        <v>289</v>
      </c>
      <c r="AA38" s="916">
        <v>7059.4516000000003</v>
      </c>
      <c r="AB38" s="597">
        <v>6659.86</v>
      </c>
      <c r="AC38" s="395">
        <v>6</v>
      </c>
      <c r="AD38" s="406" t="s">
        <v>246</v>
      </c>
      <c r="AE38" s="395">
        <v>9</v>
      </c>
      <c r="AF38" s="396">
        <f t="shared" si="5"/>
        <v>5.4</v>
      </c>
      <c r="AJ38" s="1057"/>
      <c r="AP38" s="414" t="s">
        <v>652</v>
      </c>
      <c r="AQ38" s="394">
        <f>AR38+(POLLUSTOP!$G$42*0.79)</f>
        <v>1232.78</v>
      </c>
      <c r="AR38" s="923">
        <v>1232.78</v>
      </c>
      <c r="AS38" s="595">
        <v>1163</v>
      </c>
      <c r="AU38" s="825" t="s">
        <v>900</v>
      </c>
      <c r="AV38" s="822"/>
      <c r="AW38" s="823"/>
      <c r="AX38" s="922">
        <v>673.59820000000002</v>
      </c>
      <c r="AY38" s="600">
        <v>635.47</v>
      </c>
      <c r="BB38" s="825"/>
      <c r="BC38" s="830"/>
      <c r="BD38" s="826"/>
      <c r="BE38" s="826"/>
      <c r="BF38" s="826"/>
      <c r="BG38" s="826"/>
      <c r="BH38" s="826"/>
      <c r="BI38" s="826"/>
      <c r="BJ38" s="826"/>
      <c r="BK38" s="826"/>
      <c r="BL38" s="826"/>
      <c r="BM38" s="826"/>
      <c r="BN38" s="826"/>
      <c r="BO38" s="826"/>
      <c r="BP38" s="826"/>
      <c r="BQ38" s="826"/>
      <c r="BR38" s="826"/>
      <c r="BS38" s="826"/>
    </row>
    <row r="39" spans="1:71" ht="14.5" customHeight="1" x14ac:dyDescent="0.2">
      <c r="A39" s="417" t="s">
        <v>130</v>
      </c>
      <c r="B39" s="418" t="s">
        <v>338</v>
      </c>
      <c r="C39" s="418" t="s">
        <v>1352</v>
      </c>
      <c r="E39" s="912" t="s">
        <v>1206</v>
      </c>
      <c r="F39" s="899">
        <v>218.36</v>
      </c>
      <c r="G39" s="597">
        <v>206</v>
      </c>
      <c r="H39" s="404"/>
      <c r="I39" s="415" t="s">
        <v>707</v>
      </c>
      <c r="J39" s="415"/>
      <c r="K39" s="415"/>
      <c r="M39" s="395">
        <v>2750</v>
      </c>
      <c r="N39" s="394" t="s">
        <v>120</v>
      </c>
      <c r="Q39" s="452" t="s">
        <v>595</v>
      </c>
      <c r="R39" s="899">
        <v>1183.3522</v>
      </c>
      <c r="S39" s="597">
        <v>1116.3699999999999</v>
      </c>
      <c r="T39" s="393">
        <f t="shared" si="6"/>
        <v>1254.3533320000001</v>
      </c>
      <c r="U39" s="405" t="s">
        <v>836</v>
      </c>
      <c r="V39" s="916"/>
      <c r="W39" s="597"/>
      <c r="Y39" s="393" t="s">
        <v>398</v>
      </c>
      <c r="Z39" s="406" t="s">
        <v>290</v>
      </c>
      <c r="AA39" s="916">
        <v>7806.6774000000005</v>
      </c>
      <c r="AB39" s="597">
        <v>7364.79</v>
      </c>
      <c r="AC39" s="395">
        <v>6</v>
      </c>
      <c r="AD39" s="406" t="s">
        <v>246</v>
      </c>
      <c r="AE39" s="395">
        <v>10</v>
      </c>
      <c r="AF39" s="396">
        <f t="shared" si="5"/>
        <v>6.0000000000000009</v>
      </c>
      <c r="AJ39" s="1057"/>
      <c r="AP39" s="414" t="s">
        <v>653</v>
      </c>
      <c r="AQ39" s="394">
        <f>AR39+(POLLUSTOP!$G$42*0.79)</f>
        <v>1323.94</v>
      </c>
      <c r="AR39" s="923">
        <v>1323.94</v>
      </c>
      <c r="AS39" s="595">
        <v>1249</v>
      </c>
      <c r="AU39" s="825" t="s">
        <v>900</v>
      </c>
      <c r="AV39" s="822"/>
      <c r="AW39" s="823"/>
      <c r="AX39" s="922">
        <v>801.02080000000001</v>
      </c>
      <c r="AY39" s="600">
        <v>755.68</v>
      </c>
      <c r="BB39" s="825"/>
      <c r="BC39" s="830"/>
      <c r="BD39" s="826"/>
      <c r="BE39" s="826"/>
      <c r="BF39" s="826"/>
      <c r="BG39" s="826"/>
      <c r="BH39" s="826"/>
      <c r="BI39" s="826"/>
      <c r="BJ39" s="826"/>
      <c r="BK39" s="826"/>
      <c r="BL39" s="826"/>
      <c r="BM39" s="826"/>
      <c r="BN39" s="826"/>
      <c r="BO39" s="826"/>
      <c r="BP39" s="826"/>
      <c r="BQ39" s="826"/>
      <c r="BR39" s="826"/>
      <c r="BS39" s="826"/>
    </row>
    <row r="40" spans="1:71" ht="14.5" customHeight="1" x14ac:dyDescent="0.2">
      <c r="A40" s="405" t="s">
        <v>186</v>
      </c>
      <c r="B40" s="401" t="s">
        <v>86</v>
      </c>
      <c r="C40" s="401" t="s">
        <v>1352</v>
      </c>
      <c r="E40" s="912" t="s">
        <v>1207</v>
      </c>
      <c r="F40" s="899">
        <v>858.6</v>
      </c>
      <c r="G40" s="597">
        <v>810</v>
      </c>
      <c r="H40" s="404"/>
      <c r="I40" s="405" t="s">
        <v>708</v>
      </c>
      <c r="J40" s="899">
        <v>687.00720000000001</v>
      </c>
      <c r="K40" s="597">
        <v>648.12</v>
      </c>
      <c r="M40" s="395">
        <v>3000</v>
      </c>
      <c r="N40" s="394" t="s">
        <v>120</v>
      </c>
      <c r="Q40" s="452" t="s">
        <v>596</v>
      </c>
      <c r="R40" s="899">
        <v>1317.4104</v>
      </c>
      <c r="S40" s="597">
        <v>1242.8399999999999</v>
      </c>
      <c r="T40" s="393">
        <f t="shared" si="6"/>
        <v>1396.4550240000001</v>
      </c>
      <c r="U40" s="405" t="s">
        <v>837</v>
      </c>
      <c r="V40" s="916"/>
      <c r="W40" s="597"/>
      <c r="Y40" s="393" t="s">
        <v>399</v>
      </c>
      <c r="Z40" s="406" t="s">
        <v>291</v>
      </c>
      <c r="AA40" s="916">
        <v>8553.9032000000007</v>
      </c>
      <c r="AB40" s="597">
        <v>8069.72</v>
      </c>
      <c r="AC40" s="395">
        <v>6</v>
      </c>
      <c r="AD40" s="406" t="s">
        <v>246</v>
      </c>
      <c r="AE40" s="395">
        <v>11</v>
      </c>
      <c r="AF40" s="396">
        <f t="shared" si="5"/>
        <v>6.6000000000000014</v>
      </c>
      <c r="AJ40" s="1057"/>
      <c r="AK40" s="417" t="s">
        <v>108</v>
      </c>
      <c r="AL40" s="417" t="s">
        <v>109</v>
      </c>
      <c r="AM40" s="417"/>
      <c r="AP40" s="414" t="s">
        <v>654</v>
      </c>
      <c r="AQ40" s="394">
        <f>AR40+(POLLUSTOP!$G$43*0.79)</f>
        <v>1340.9</v>
      </c>
      <c r="AR40" s="923">
        <v>1340.9</v>
      </c>
      <c r="AS40" s="595">
        <v>1265</v>
      </c>
      <c r="AU40" s="825" t="s">
        <v>901</v>
      </c>
      <c r="AV40" s="822"/>
      <c r="AW40" s="823"/>
      <c r="AX40" s="922">
        <v>863.99540000000013</v>
      </c>
      <c r="AY40" s="600">
        <v>815.09</v>
      </c>
      <c r="BB40" s="825"/>
    </row>
    <row r="41" spans="1:71" ht="14.5" customHeight="1" x14ac:dyDescent="0.2">
      <c r="A41" s="405" t="s">
        <v>762</v>
      </c>
      <c r="B41" s="401" t="s">
        <v>86</v>
      </c>
      <c r="C41" s="401" t="s">
        <v>1352</v>
      </c>
      <c r="E41" s="912" t="s">
        <v>1208</v>
      </c>
      <c r="F41" s="899">
        <v>633.88</v>
      </c>
      <c r="G41" s="597">
        <v>598</v>
      </c>
      <c r="H41" s="404"/>
      <c r="I41" s="405" t="s">
        <v>709</v>
      </c>
      <c r="J41" s="899">
        <v>894.02520000000004</v>
      </c>
      <c r="K41" s="597">
        <v>843.42</v>
      </c>
      <c r="M41" s="395">
        <v>1000</v>
      </c>
      <c r="N41" s="394" t="s">
        <v>800</v>
      </c>
      <c r="O41" s="393"/>
      <c r="Q41" s="452" t="s">
        <v>590</v>
      </c>
      <c r="R41" s="899">
        <v>1102.1562000000001</v>
      </c>
      <c r="S41" s="597">
        <v>1039.77</v>
      </c>
      <c r="T41" s="393">
        <f t="shared" si="6"/>
        <v>1168.2855720000002</v>
      </c>
      <c r="U41" s="405" t="s">
        <v>838</v>
      </c>
      <c r="V41" s="916"/>
      <c r="W41" s="597"/>
      <c r="Y41" s="393" t="s">
        <v>400</v>
      </c>
      <c r="Z41" s="406" t="s">
        <v>292</v>
      </c>
      <c r="AA41" s="916">
        <v>9301.1290000000008</v>
      </c>
      <c r="AB41" s="597">
        <v>8774.65</v>
      </c>
      <c r="AC41" s="395">
        <v>6</v>
      </c>
      <c r="AD41" s="406" t="s">
        <v>246</v>
      </c>
      <c r="AE41" s="395">
        <v>12</v>
      </c>
      <c r="AF41" s="396">
        <f t="shared" si="5"/>
        <v>7.2000000000000011</v>
      </c>
      <c r="AJ41" s="1057"/>
      <c r="AK41" s="393" t="s">
        <v>114</v>
      </c>
      <c r="AL41" s="812" t="s">
        <v>1341</v>
      </c>
      <c r="AM41" s="916">
        <v>226.84</v>
      </c>
      <c r="AN41" s="595">
        <v>214</v>
      </c>
      <c r="AO41" s="601"/>
      <c r="AP41" s="414" t="s">
        <v>655</v>
      </c>
      <c r="AQ41" s="394">
        <f>AR41+(POLLUSTOP!$G$43*0.79)</f>
        <v>1593.18</v>
      </c>
      <c r="AR41" s="923">
        <v>1593.18</v>
      </c>
      <c r="AS41" s="595">
        <v>1503</v>
      </c>
      <c r="AU41" s="825" t="s">
        <v>902</v>
      </c>
      <c r="AV41" s="822"/>
      <c r="AW41" s="823"/>
      <c r="AX41" s="922">
        <v>1129.5042000000001</v>
      </c>
      <c r="AY41" s="600">
        <v>1065.57</v>
      </c>
      <c r="BB41" s="825"/>
    </row>
    <row r="42" spans="1:71" ht="14.5" customHeight="1" x14ac:dyDescent="0.2">
      <c r="A42" s="405" t="s">
        <v>131</v>
      </c>
      <c r="B42" s="401" t="s">
        <v>86</v>
      </c>
      <c r="C42" s="401" t="s">
        <v>1352</v>
      </c>
      <c r="E42" s="912" t="s">
        <v>1209</v>
      </c>
      <c r="F42" s="899">
        <v>477</v>
      </c>
      <c r="G42" s="597">
        <v>450</v>
      </c>
      <c r="H42" s="404"/>
      <c r="I42" s="405" t="s">
        <v>712</v>
      </c>
      <c r="J42" s="899">
        <v>1228.01</v>
      </c>
      <c r="K42" s="597">
        <v>1158.5</v>
      </c>
      <c r="M42" s="395">
        <v>1250</v>
      </c>
      <c r="N42" s="394" t="s">
        <v>800</v>
      </c>
      <c r="Q42" s="452" t="s">
        <v>592</v>
      </c>
      <c r="R42" s="899">
        <v>1281.1584000000003</v>
      </c>
      <c r="S42" s="597">
        <v>1208.6400000000001</v>
      </c>
      <c r="T42" s="393">
        <f t="shared" si="6"/>
        <v>1358.0279040000003</v>
      </c>
      <c r="U42" s="405"/>
      <c r="V42" s="916"/>
      <c r="W42" s="597"/>
      <c r="Y42" s="393" t="s">
        <v>401</v>
      </c>
      <c r="Z42" s="406" t="s">
        <v>293</v>
      </c>
      <c r="AA42" s="916">
        <v>1123.3456000000001</v>
      </c>
      <c r="AB42" s="597">
        <v>1059.76</v>
      </c>
      <c r="AC42" s="395">
        <v>6</v>
      </c>
      <c r="AD42" s="406" t="s">
        <v>248</v>
      </c>
      <c r="AE42" s="395">
        <v>1</v>
      </c>
      <c r="AF42" s="396">
        <f>IF(AD42="S",AC42*#REF!*AE42,AC42*$AD$3*AE42)</f>
        <v>1.2000000000000002</v>
      </c>
      <c r="AJ42" s="1057"/>
      <c r="AK42" s="393" t="s">
        <v>531</v>
      </c>
      <c r="AL42" s="393" t="s">
        <v>454</v>
      </c>
      <c r="AM42" s="916">
        <v>2.0670000000000002</v>
      </c>
      <c r="AN42" s="595">
        <v>1.95</v>
      </c>
      <c r="AO42" s="601"/>
      <c r="AP42" s="414" t="s">
        <v>656</v>
      </c>
      <c r="AQ42" s="394">
        <f>AR42+(POLLUSTOP!$G$43*0.79)</f>
        <v>1749</v>
      </c>
      <c r="AR42" s="923">
        <v>1749</v>
      </c>
      <c r="AS42" s="595">
        <v>1650</v>
      </c>
      <c r="AU42" s="825" t="s">
        <v>903</v>
      </c>
      <c r="AV42" s="822"/>
      <c r="AW42" s="823"/>
      <c r="AX42" s="922">
        <v>699.03820000000007</v>
      </c>
      <c r="AY42" s="600">
        <v>659.47</v>
      </c>
      <c r="BB42" s="825"/>
    </row>
    <row r="43" spans="1:71" ht="14.5" customHeight="1" x14ac:dyDescent="0.2">
      <c r="A43" s="405" t="s">
        <v>132</v>
      </c>
      <c r="B43" s="401" t="s">
        <v>86</v>
      </c>
      <c r="C43" s="401" t="s">
        <v>1352</v>
      </c>
      <c r="E43" s="912" t="s">
        <v>1103</v>
      </c>
      <c r="F43" s="899">
        <v>598.9</v>
      </c>
      <c r="G43" s="597">
        <v>565</v>
      </c>
      <c r="H43" s="404"/>
      <c r="I43" s="405" t="s">
        <v>711</v>
      </c>
      <c r="J43" s="899">
        <v>1241.5038000000002</v>
      </c>
      <c r="K43" s="597">
        <v>1171.23</v>
      </c>
      <c r="M43" s="395">
        <v>1500</v>
      </c>
      <c r="N43" s="394" t="s">
        <v>800</v>
      </c>
      <c r="Q43" s="452" t="s">
        <v>594</v>
      </c>
      <c r="R43" s="899">
        <v>1826.7192</v>
      </c>
      <c r="S43" s="597">
        <v>1723.32</v>
      </c>
      <c r="T43" s="393">
        <f t="shared" si="6"/>
        <v>1936.3223520000001</v>
      </c>
      <c r="V43" s="1056">
        <v>45658</v>
      </c>
      <c r="W43" s="982">
        <v>45566</v>
      </c>
      <c r="Y43" s="393" t="s">
        <v>402</v>
      </c>
      <c r="Z43" s="406" t="s">
        <v>294</v>
      </c>
      <c r="AA43" s="916">
        <v>1913.777</v>
      </c>
      <c r="AB43" s="597">
        <v>1805.45</v>
      </c>
      <c r="AC43" s="395">
        <v>6</v>
      </c>
      <c r="AD43" s="406" t="s">
        <v>248</v>
      </c>
      <c r="AE43" s="395">
        <v>2</v>
      </c>
      <c r="AF43" s="396">
        <f>IF(AD43="S",AC43*#REF!*AE43,AC43*$AD$3*AE43)</f>
        <v>2.4000000000000004</v>
      </c>
      <c r="AJ43" s="1057"/>
      <c r="AK43" s="812" t="s">
        <v>1475</v>
      </c>
      <c r="AL43" s="812" t="s">
        <v>1476</v>
      </c>
      <c r="AM43" s="916">
        <v>60</v>
      </c>
      <c r="AN43" s="595">
        <v>0</v>
      </c>
      <c r="AO43" s="601"/>
      <c r="AP43" s="414" t="s">
        <v>657</v>
      </c>
      <c r="AQ43" s="394">
        <f>AR43+(POLLUSTOP!$G$44*0.79)</f>
        <v>2001.2800000000002</v>
      </c>
      <c r="AR43" s="923">
        <v>2001.2800000000002</v>
      </c>
      <c r="AS43" s="595">
        <v>1888</v>
      </c>
      <c r="AU43" s="825" t="s">
        <v>904</v>
      </c>
      <c r="AV43" s="822"/>
      <c r="AW43" s="823"/>
      <c r="AX43" s="922">
        <v>726.29079999999999</v>
      </c>
      <c r="AY43" s="600">
        <v>685.18</v>
      </c>
      <c r="BB43" s="825"/>
    </row>
    <row r="44" spans="1:71" ht="14.5" customHeight="1" x14ac:dyDescent="0.2">
      <c r="A44" s="405" t="s">
        <v>187</v>
      </c>
      <c r="B44" s="401" t="s">
        <v>86</v>
      </c>
      <c r="C44" s="401" t="s">
        <v>1352</v>
      </c>
      <c r="E44" s="912" t="s">
        <v>1104</v>
      </c>
      <c r="F44" s="899">
        <v>424</v>
      </c>
      <c r="G44" s="597">
        <v>400</v>
      </c>
      <c r="H44" s="404"/>
      <c r="I44" s="405" t="s">
        <v>710</v>
      </c>
      <c r="J44" s="899">
        <v>1332.6002000000001</v>
      </c>
      <c r="K44" s="597">
        <v>1257.17</v>
      </c>
      <c r="M44" s="395">
        <v>1750</v>
      </c>
      <c r="N44" s="394" t="s">
        <v>801</v>
      </c>
      <c r="Q44" s="452" t="s">
        <v>597</v>
      </c>
      <c r="R44" s="899">
        <v>1875.5216</v>
      </c>
      <c r="S44" s="597">
        <v>1769.36</v>
      </c>
      <c r="T44" s="393">
        <f t="shared" si="6"/>
        <v>1988.0528960000001</v>
      </c>
      <c r="U44" s="415" t="s">
        <v>1396</v>
      </c>
      <c r="V44" s="415"/>
      <c r="W44" s="415"/>
      <c r="Y44" s="393" t="s">
        <v>403</v>
      </c>
      <c r="Z44" s="406" t="s">
        <v>295</v>
      </c>
      <c r="AA44" s="916">
        <v>2704.2084</v>
      </c>
      <c r="AB44" s="597">
        <v>2551.14</v>
      </c>
      <c r="AC44" s="395">
        <v>6</v>
      </c>
      <c r="AD44" s="406" t="s">
        <v>248</v>
      </c>
      <c r="AE44" s="395">
        <v>3</v>
      </c>
      <c r="AF44" s="396">
        <f>IF(AD44="S",AC44*#REF!*AE44,AC44*$AD$3*AE44)</f>
        <v>3.6000000000000005</v>
      </c>
      <c r="AJ44" s="1057"/>
      <c r="AK44" s="812" t="s">
        <v>1342</v>
      </c>
      <c r="AL44" s="393" t="s">
        <v>454</v>
      </c>
      <c r="AM44" s="916">
        <v>7.2292000000000005</v>
      </c>
      <c r="AN44" s="595">
        <v>6.82</v>
      </c>
      <c r="AO44" s="601"/>
      <c r="AP44" s="405"/>
      <c r="AU44" s="825" t="s">
        <v>1307</v>
      </c>
      <c r="AV44" s="822"/>
      <c r="AW44" s="823"/>
      <c r="AX44" s="922">
        <v>737.72820000000002</v>
      </c>
      <c r="AY44" s="600">
        <v>695.97</v>
      </c>
      <c r="BB44" s="825"/>
    </row>
    <row r="45" spans="1:71" ht="14.5" customHeight="1" x14ac:dyDescent="0.2">
      <c r="A45" s="405" t="s">
        <v>763</v>
      </c>
      <c r="B45" s="401" t="s">
        <v>86</v>
      </c>
      <c r="C45" s="401" t="s">
        <v>1352</v>
      </c>
      <c r="E45" s="912" t="s">
        <v>1210</v>
      </c>
      <c r="F45" s="899">
        <v>672.04000000000008</v>
      </c>
      <c r="G45" s="597">
        <v>634</v>
      </c>
      <c r="H45" s="404"/>
      <c r="M45" s="395">
        <v>2000</v>
      </c>
      <c r="N45" s="394" t="s">
        <v>801</v>
      </c>
      <c r="Q45" s="452" t="s">
        <v>598</v>
      </c>
      <c r="R45" s="899">
        <v>2131.4162000000001</v>
      </c>
      <c r="S45" s="597">
        <v>2010.77</v>
      </c>
      <c r="T45" s="393">
        <f t="shared" si="6"/>
        <v>2259.3011720000004</v>
      </c>
      <c r="U45" s="812" t="s">
        <v>1390</v>
      </c>
      <c r="V45" s="923">
        <v>700</v>
      </c>
      <c r="W45" s="595">
        <v>700</v>
      </c>
      <c r="Y45" s="393" t="s">
        <v>404</v>
      </c>
      <c r="Z45" s="406" t="s">
        <v>296</v>
      </c>
      <c r="AA45" s="916">
        <v>3494.6397999999999</v>
      </c>
      <c r="AB45" s="597">
        <v>3296.83</v>
      </c>
      <c r="AC45" s="395">
        <v>6</v>
      </c>
      <c r="AD45" s="406" t="s">
        <v>248</v>
      </c>
      <c r="AE45" s="395">
        <v>4</v>
      </c>
      <c r="AF45" s="396">
        <f>IF(AD45="S",AC45*#REF!*AE45,AC45*$AD$3*AE45)</f>
        <v>4.8000000000000007</v>
      </c>
      <c r="AJ45" s="1057"/>
      <c r="AK45" s="812" t="s">
        <v>1343</v>
      </c>
      <c r="AL45" s="812" t="s">
        <v>454</v>
      </c>
      <c r="AM45" s="916">
        <v>136.83540000000002</v>
      </c>
      <c r="AN45" s="595">
        <v>129.09</v>
      </c>
      <c r="AO45" s="601"/>
      <c r="AP45" s="423" t="s">
        <v>31</v>
      </c>
      <c r="AQ45" s="417"/>
      <c r="AR45" s="417"/>
      <c r="AS45" s="417"/>
      <c r="AU45" s="825" t="s">
        <v>905</v>
      </c>
      <c r="AV45" s="822"/>
      <c r="AW45" s="823"/>
      <c r="AX45" s="922">
        <v>779.4498000000001</v>
      </c>
      <c r="AY45" s="600">
        <v>735.33</v>
      </c>
      <c r="BB45" s="825"/>
    </row>
    <row r="46" spans="1:71" ht="14.5" customHeight="1" x14ac:dyDescent="0.2">
      <c r="A46" s="405" t="s">
        <v>133</v>
      </c>
      <c r="B46" s="401" t="s">
        <v>86</v>
      </c>
      <c r="C46" s="401" t="s">
        <v>1352</v>
      </c>
      <c r="E46" s="912" t="s">
        <v>1211</v>
      </c>
      <c r="F46" s="899">
        <v>598.9</v>
      </c>
      <c r="G46" s="597">
        <v>565</v>
      </c>
      <c r="H46" s="404"/>
      <c r="M46" s="395">
        <v>2250</v>
      </c>
      <c r="N46" s="394" t="s">
        <v>801</v>
      </c>
      <c r="S46" s="394"/>
      <c r="U46" s="812" t="s">
        <v>834</v>
      </c>
      <c r="V46" s="923">
        <v>930</v>
      </c>
      <c r="W46" s="595">
        <v>930</v>
      </c>
      <c r="Y46" s="393" t="s">
        <v>405</v>
      </c>
      <c r="Z46" s="406" t="s">
        <v>297</v>
      </c>
      <c r="AA46" s="916">
        <v>4285.0712000000003</v>
      </c>
      <c r="AB46" s="597">
        <v>4042.52</v>
      </c>
      <c r="AC46" s="395">
        <v>6</v>
      </c>
      <c r="AD46" s="406" t="s">
        <v>248</v>
      </c>
      <c r="AE46" s="395">
        <v>5</v>
      </c>
      <c r="AF46" s="396">
        <f>IF(AD46="S",AC46*#REF!*AE46,AC46*$AD$3*AE46)</f>
        <v>6.0000000000000009</v>
      </c>
      <c r="AJ46" s="1057"/>
      <c r="AK46" s="393" t="s">
        <v>233</v>
      </c>
      <c r="AL46" s="812" t="s">
        <v>1097</v>
      </c>
      <c r="AM46" s="916">
        <v>409.22360000000003</v>
      </c>
      <c r="AN46" s="595">
        <v>386.06</v>
      </c>
      <c r="AO46" s="601"/>
      <c r="AP46" s="414" t="s">
        <v>77</v>
      </c>
      <c r="AQ46" s="394">
        <v>0</v>
      </c>
      <c r="AR46" s="901"/>
      <c r="AS46" s="901"/>
      <c r="AU46" s="825" t="s">
        <v>905</v>
      </c>
      <c r="AV46" s="822"/>
      <c r="AW46" s="823"/>
      <c r="AX46" s="922">
        <v>906.87239999999997</v>
      </c>
      <c r="AY46" s="600">
        <v>855.54</v>
      </c>
      <c r="BB46" s="825"/>
    </row>
    <row r="47" spans="1:71" ht="14.5" customHeight="1" x14ac:dyDescent="0.2">
      <c r="A47" s="405" t="s">
        <v>173</v>
      </c>
      <c r="B47" s="401" t="s">
        <v>86</v>
      </c>
      <c r="C47" s="401" t="s">
        <v>1352</v>
      </c>
      <c r="E47" s="912" t="s">
        <v>1212</v>
      </c>
      <c r="F47" s="899">
        <v>408.1</v>
      </c>
      <c r="G47" s="597">
        <v>385</v>
      </c>
      <c r="H47" s="404"/>
      <c r="M47" s="395">
        <v>2500</v>
      </c>
      <c r="N47" s="394" t="s">
        <v>802</v>
      </c>
      <c r="S47" s="394"/>
      <c r="U47" s="812" t="s">
        <v>1391</v>
      </c>
      <c r="V47" s="923">
        <v>1250</v>
      </c>
      <c r="W47" s="595">
        <v>1250</v>
      </c>
      <c r="Y47" s="393" t="s">
        <v>406</v>
      </c>
      <c r="Z47" s="406" t="s">
        <v>298</v>
      </c>
      <c r="AA47" s="916">
        <v>5075.5026000000007</v>
      </c>
      <c r="AB47" s="597">
        <v>4788.21</v>
      </c>
      <c r="AC47" s="395">
        <v>6</v>
      </c>
      <c r="AD47" s="406" t="s">
        <v>248</v>
      </c>
      <c r="AE47" s="395">
        <v>6</v>
      </c>
      <c r="AF47" s="396">
        <f>IF(AD47="S",AC47*#REF!*AE47,AC47*$AD$3*AE47)</f>
        <v>7.2000000000000011</v>
      </c>
      <c r="AJ47" s="1057"/>
      <c r="AK47" s="393" t="s">
        <v>232</v>
      </c>
      <c r="AL47" s="393" t="s">
        <v>455</v>
      </c>
      <c r="AM47" s="916">
        <v>298.32640000000004</v>
      </c>
      <c r="AN47" s="595">
        <v>281.44</v>
      </c>
      <c r="AO47" s="601"/>
      <c r="AP47" s="414" t="s">
        <v>94</v>
      </c>
      <c r="AQ47" s="394">
        <f>(POLLUSTOP!$G$39*0.6)+AR47</f>
        <v>984.74</v>
      </c>
      <c r="AR47" s="923">
        <v>984.74</v>
      </c>
      <c r="AS47" s="595">
        <v>929</v>
      </c>
      <c r="AU47" s="825" t="s">
        <v>906</v>
      </c>
      <c r="AV47" s="822"/>
      <c r="AW47" s="823"/>
      <c r="AX47" s="922">
        <v>969.84700000000009</v>
      </c>
      <c r="AY47" s="600">
        <v>914.95</v>
      </c>
      <c r="BB47" s="825"/>
    </row>
    <row r="48" spans="1:71" ht="14.5" customHeight="1" x14ac:dyDescent="0.2">
      <c r="A48" s="405" t="s">
        <v>658</v>
      </c>
      <c r="B48" s="401" t="s">
        <v>86</v>
      </c>
      <c r="C48" s="401" t="s">
        <v>1352</v>
      </c>
      <c r="E48" s="912" t="s">
        <v>1110</v>
      </c>
      <c r="F48" s="899">
        <v>455.8</v>
      </c>
      <c r="G48" s="597">
        <v>430</v>
      </c>
      <c r="H48" s="404"/>
      <c r="M48" s="395">
        <v>2750</v>
      </c>
      <c r="N48" s="394" t="s">
        <v>802</v>
      </c>
      <c r="Q48" s="415" t="s">
        <v>702</v>
      </c>
      <c r="R48" s="415">
        <v>0</v>
      </c>
      <c r="S48" s="415">
        <v>0</v>
      </c>
      <c r="U48" s="812" t="s">
        <v>841</v>
      </c>
      <c r="V48" s="923">
        <v>1480</v>
      </c>
      <c r="W48" s="595">
        <v>1480</v>
      </c>
      <c r="Y48" s="393" t="s">
        <v>407</v>
      </c>
      <c r="Z48" s="406" t="s">
        <v>299</v>
      </c>
      <c r="AA48" s="916">
        <v>5865.9340000000002</v>
      </c>
      <c r="AB48" s="597">
        <v>5533.9</v>
      </c>
      <c r="AC48" s="395">
        <v>6</v>
      </c>
      <c r="AD48" s="406" t="s">
        <v>248</v>
      </c>
      <c r="AE48" s="395">
        <v>7</v>
      </c>
      <c r="AF48" s="396">
        <f>IF(AD48="S",AC48*#REF!*AE48,AC48*$AD$3*AE48)</f>
        <v>8.4000000000000021</v>
      </c>
      <c r="AJ48" s="1057"/>
      <c r="AK48" s="393" t="s">
        <v>231</v>
      </c>
      <c r="AL48" s="393" t="s">
        <v>456</v>
      </c>
      <c r="AM48" s="916">
        <v>333.63499999999999</v>
      </c>
      <c r="AN48" s="595">
        <v>314.75</v>
      </c>
      <c r="AO48" s="601"/>
      <c r="AP48" s="414" t="s">
        <v>95</v>
      </c>
      <c r="AQ48" s="394">
        <f>AR48+(POLLUSTOP!$G$40*0.6)</f>
        <v>2572.88</v>
      </c>
      <c r="AR48" s="923">
        <v>1375.88</v>
      </c>
      <c r="AS48" s="595">
        <v>1298</v>
      </c>
      <c r="AU48" s="825" t="s">
        <v>907</v>
      </c>
      <c r="AV48" s="822"/>
      <c r="AW48" s="823"/>
      <c r="AX48" s="922">
        <v>1235.3558</v>
      </c>
      <c r="AY48" s="600">
        <v>1165.43</v>
      </c>
      <c r="BB48" s="825"/>
    </row>
    <row r="49" spans="1:55" ht="14.5" customHeight="1" x14ac:dyDescent="0.15">
      <c r="A49" s="405" t="s">
        <v>760</v>
      </c>
      <c r="B49" s="401" t="s">
        <v>334</v>
      </c>
      <c r="C49" s="401" t="s">
        <v>1352</v>
      </c>
      <c r="E49" s="912" t="s">
        <v>1154</v>
      </c>
      <c r="F49" s="899">
        <v>651.9</v>
      </c>
      <c r="G49" s="597">
        <v>615</v>
      </c>
      <c r="H49" s="404"/>
      <c r="M49" s="395">
        <v>3000</v>
      </c>
      <c r="N49" s="394" t="s">
        <v>802</v>
      </c>
      <c r="Q49" s="405" t="s">
        <v>668</v>
      </c>
      <c r="S49" s="394"/>
      <c r="U49" s="812" t="s">
        <v>1392</v>
      </c>
      <c r="V49" s="923">
        <v>1800</v>
      </c>
      <c r="W49" s="595">
        <v>1800</v>
      </c>
      <c r="Y49" s="393" t="s">
        <v>408</v>
      </c>
      <c r="Z49" s="406" t="s">
        <v>300</v>
      </c>
      <c r="AA49" s="916">
        <v>6656.3654000000006</v>
      </c>
      <c r="AB49" s="597">
        <v>6279.59</v>
      </c>
      <c r="AC49" s="395">
        <v>6</v>
      </c>
      <c r="AD49" s="406" t="s">
        <v>248</v>
      </c>
      <c r="AE49" s="395">
        <v>8</v>
      </c>
      <c r="AF49" s="396">
        <f>IF(AD49="S",AC49*#REF!*AE49,AC49*$AD$3*AE49)</f>
        <v>9.6000000000000014</v>
      </c>
      <c r="AJ49" s="1057"/>
      <c r="AP49" s="414" t="s">
        <v>96</v>
      </c>
      <c r="AQ49" s="394">
        <f>AR49+(POLLUSTOP!$G$41*0.6)</f>
        <v>2856.2</v>
      </c>
      <c r="AR49" s="923">
        <v>1770.2</v>
      </c>
      <c r="AS49" s="595">
        <v>1670</v>
      </c>
      <c r="AU49" s="809"/>
      <c r="AV49" s="413"/>
      <c r="AW49" s="408"/>
      <c r="AX49" s="803"/>
    </row>
    <row r="50" spans="1:55" ht="14.5" customHeight="1" x14ac:dyDescent="0.15">
      <c r="A50" s="405" t="s">
        <v>759</v>
      </c>
      <c r="B50" s="401" t="s">
        <v>334</v>
      </c>
      <c r="C50" s="401" t="s">
        <v>1352</v>
      </c>
      <c r="E50" s="912" t="s">
        <v>1213</v>
      </c>
      <c r="F50" s="899">
        <v>344.5</v>
      </c>
      <c r="G50" s="597">
        <v>325</v>
      </c>
      <c r="H50" s="404"/>
      <c r="U50" s="812" t="s">
        <v>843</v>
      </c>
      <c r="V50" s="923">
        <v>2160</v>
      </c>
      <c r="W50" s="595">
        <v>2160</v>
      </c>
      <c r="Y50" s="812" t="s">
        <v>1346</v>
      </c>
      <c r="Z50" s="406" t="s">
        <v>301</v>
      </c>
      <c r="AA50" s="916">
        <v>7446.7968000000001</v>
      </c>
      <c r="AB50" s="597">
        <v>7025.28</v>
      </c>
      <c r="AC50" s="395">
        <v>6</v>
      </c>
      <c r="AD50" s="406" t="s">
        <v>248</v>
      </c>
      <c r="AE50" s="395">
        <v>9</v>
      </c>
      <c r="AF50" s="396">
        <f>IF(AD50="S",AC50*#REF!*AE50,AC50*$AD$3*AE50)</f>
        <v>10.8</v>
      </c>
      <c r="AJ50" s="1057"/>
      <c r="AP50" s="414" t="s">
        <v>97</v>
      </c>
      <c r="AQ50" s="394">
        <f>AR50+(POLLUSTOP!$G$41*0.6)</f>
        <v>3051.24</v>
      </c>
      <c r="AR50" s="923">
        <v>1965.24</v>
      </c>
      <c r="AS50" s="595">
        <v>1854</v>
      </c>
      <c r="AU50" s="809" t="s">
        <v>912</v>
      </c>
      <c r="AV50" s="413"/>
      <c r="AW50" s="408"/>
      <c r="AX50" s="1066">
        <v>151.72839999999999</v>
      </c>
      <c r="AY50" s="600">
        <v>143.13999999999999</v>
      </c>
    </row>
    <row r="51" spans="1:55" ht="14.5" customHeight="1" x14ac:dyDescent="0.15">
      <c r="A51" s="405" t="s">
        <v>761</v>
      </c>
      <c r="B51" s="401" t="s">
        <v>538</v>
      </c>
      <c r="C51" s="401" t="s">
        <v>1353</v>
      </c>
      <c r="E51" s="912" t="s">
        <v>1160</v>
      </c>
      <c r="F51" s="899">
        <v>673.1</v>
      </c>
      <c r="G51" s="597">
        <v>635</v>
      </c>
      <c r="H51" s="404"/>
      <c r="U51" s="812" t="s">
        <v>1393</v>
      </c>
      <c r="V51" s="923">
        <v>2100</v>
      </c>
      <c r="W51" s="595">
        <v>2100</v>
      </c>
      <c r="Y51" s="393" t="s">
        <v>409</v>
      </c>
      <c r="Z51" s="406" t="s">
        <v>302</v>
      </c>
      <c r="AA51" s="916">
        <v>8237.2282000000014</v>
      </c>
      <c r="AB51" s="597">
        <v>7770.97</v>
      </c>
      <c r="AC51" s="395">
        <v>6</v>
      </c>
      <c r="AD51" s="406" t="s">
        <v>248</v>
      </c>
      <c r="AE51" s="395">
        <v>10</v>
      </c>
      <c r="AF51" s="396">
        <f>IF(AD51="S",AC51*#REF!*AE51,AC51*$AD$3*AE51)</f>
        <v>12.000000000000002</v>
      </c>
      <c r="AJ51" s="1057"/>
      <c r="AK51" s="417" t="s">
        <v>108</v>
      </c>
      <c r="AL51" s="417" t="s">
        <v>109</v>
      </c>
      <c r="AM51" s="417"/>
      <c r="AP51" s="414" t="s">
        <v>98</v>
      </c>
      <c r="AQ51" s="394">
        <f>AR51+(POLLUSTOP!$G$42*0.6)</f>
        <v>2354.2600000000002</v>
      </c>
      <c r="AR51" s="923">
        <v>2354.2600000000002</v>
      </c>
      <c r="AS51" s="595">
        <v>2221</v>
      </c>
      <c r="AU51" s="408"/>
      <c r="AV51" s="1191" t="s">
        <v>437</v>
      </c>
      <c r="AW51" s="1191"/>
      <c r="AX51" s="1066"/>
    </row>
    <row r="52" spans="1:55" ht="14.5" customHeight="1" x14ac:dyDescent="0.15">
      <c r="A52" s="405" t="s">
        <v>764</v>
      </c>
      <c r="B52" s="401" t="s">
        <v>538</v>
      </c>
      <c r="C52" s="401" t="s">
        <v>1353</v>
      </c>
      <c r="E52" s="912" t="s">
        <v>1115</v>
      </c>
      <c r="F52" s="899">
        <v>1113</v>
      </c>
      <c r="G52" s="597">
        <v>1050</v>
      </c>
      <c r="H52" s="404"/>
      <c r="U52" s="812" t="s">
        <v>845</v>
      </c>
      <c r="V52" s="923">
        <v>2460</v>
      </c>
      <c r="W52" s="595">
        <v>2460</v>
      </c>
      <c r="Y52" s="393" t="s">
        <v>410</v>
      </c>
      <c r="Z52" s="406" t="s">
        <v>303</v>
      </c>
      <c r="AA52" s="916">
        <v>9027.6596000000009</v>
      </c>
      <c r="AB52" s="597">
        <v>8516.66</v>
      </c>
      <c r="AC52" s="395">
        <v>6</v>
      </c>
      <c r="AD52" s="406" t="s">
        <v>248</v>
      </c>
      <c r="AE52" s="395">
        <v>11</v>
      </c>
      <c r="AF52" s="396">
        <f>IF(AD52="S",AC52*#REF!*AE52,AC52*$AD$3*AE52)</f>
        <v>13.200000000000003</v>
      </c>
      <c r="AJ52" s="1057"/>
      <c r="AM52" s="897"/>
      <c r="AN52" s="595">
        <v>243.96</v>
      </c>
      <c r="AO52" s="601"/>
      <c r="AP52" s="414" t="s">
        <v>99</v>
      </c>
      <c r="AQ52" s="394">
        <f>AR52+(POLLUSTOP!$G$42*0.6)</f>
        <v>2540.8200000000002</v>
      </c>
      <c r="AR52" s="923">
        <v>2540.8200000000002</v>
      </c>
      <c r="AS52" s="595">
        <v>2397</v>
      </c>
      <c r="AU52" s="408" t="s">
        <v>469</v>
      </c>
      <c r="AV52" s="1185" t="s">
        <v>1442</v>
      </c>
      <c r="AW52" s="1186"/>
      <c r="AX52" s="1066">
        <v>0</v>
      </c>
      <c r="AY52" s="600">
        <v>0</v>
      </c>
      <c r="AZ52" s="812" t="s">
        <v>1443</v>
      </c>
    </row>
    <row r="53" spans="1:55" ht="14.5" customHeight="1" x14ac:dyDescent="0.15">
      <c r="A53" s="405" t="s">
        <v>343</v>
      </c>
      <c r="B53" s="401" t="s">
        <v>346</v>
      </c>
      <c r="C53" s="401" t="s">
        <v>1353</v>
      </c>
      <c r="E53" s="912" t="s">
        <v>1214</v>
      </c>
      <c r="F53" s="899">
        <v>890.40000000000009</v>
      </c>
      <c r="G53" s="597">
        <v>840</v>
      </c>
      <c r="H53" s="404"/>
      <c r="U53" s="812" t="s">
        <v>1394</v>
      </c>
      <c r="V53" s="923">
        <v>2550</v>
      </c>
      <c r="W53" s="595">
        <v>2550</v>
      </c>
      <c r="Y53" s="393" t="s">
        <v>411</v>
      </c>
      <c r="Z53" s="406" t="s">
        <v>304</v>
      </c>
      <c r="AA53" s="916">
        <v>9818.0910000000003</v>
      </c>
      <c r="AB53" s="597">
        <v>9262.35</v>
      </c>
      <c r="AC53" s="395">
        <v>6</v>
      </c>
      <c r="AD53" s="406" t="s">
        <v>248</v>
      </c>
      <c r="AE53" s="395">
        <v>12</v>
      </c>
      <c r="AF53" s="396">
        <f>IF(AD53="S",AC53*#REF!*AE53,AC53*$AD$3*AE53)</f>
        <v>14.400000000000002</v>
      </c>
      <c r="AJ53" s="1057"/>
      <c r="AL53" s="393" t="s">
        <v>437</v>
      </c>
      <c r="AM53" s="897"/>
      <c r="AN53" s="595">
        <v>0</v>
      </c>
      <c r="AO53" s="601"/>
      <c r="AP53" s="414" t="s">
        <v>100</v>
      </c>
      <c r="AQ53" s="394">
        <f>AR53+(POLLUSTOP!$G$43*0.6)</f>
        <v>3072.94</v>
      </c>
      <c r="AR53" s="923">
        <v>3072.94</v>
      </c>
      <c r="AS53" s="595">
        <v>2899</v>
      </c>
      <c r="AU53" s="408" t="s">
        <v>470</v>
      </c>
      <c r="AV53" s="413"/>
      <c r="AW53" s="408" t="s">
        <v>437</v>
      </c>
      <c r="AX53" s="1066">
        <f>AY53*1.06</f>
        <v>38.213000000000001</v>
      </c>
      <c r="AY53" s="600">
        <v>36.049999999999997</v>
      </c>
    </row>
    <row r="54" spans="1:55" ht="14.5" customHeight="1" x14ac:dyDescent="0.15">
      <c r="A54" s="812" t="s">
        <v>1352</v>
      </c>
      <c r="B54" s="942" t="s">
        <v>1352</v>
      </c>
      <c r="E54" s="912" t="s">
        <v>1122</v>
      </c>
      <c r="F54" s="899">
        <v>371</v>
      </c>
      <c r="G54" s="597">
        <v>350</v>
      </c>
      <c r="H54" s="404"/>
      <c r="U54" s="812" t="s">
        <v>847</v>
      </c>
      <c r="V54" s="923">
        <v>3230</v>
      </c>
      <c r="W54" s="595">
        <v>3230</v>
      </c>
      <c r="Y54" s="393" t="s">
        <v>412</v>
      </c>
      <c r="Z54" s="406" t="s">
        <v>305</v>
      </c>
      <c r="AA54" s="916">
        <v>1231.0203999999999</v>
      </c>
      <c r="AB54" s="597">
        <v>1161.3399999999999</v>
      </c>
      <c r="AC54" s="395">
        <v>8</v>
      </c>
      <c r="AD54" s="406" t="s">
        <v>246</v>
      </c>
      <c r="AE54" s="395">
        <v>1</v>
      </c>
      <c r="AF54" s="396">
        <f>IF(AD54="S",AC54*$AD$1*AE54,AC54*$AD$3*AE54)</f>
        <v>0.8</v>
      </c>
      <c r="AJ54" s="1057"/>
      <c r="AM54" s="897"/>
      <c r="AN54" s="595">
        <v>271.78000000000003</v>
      </c>
      <c r="AO54" s="601"/>
      <c r="AP54" s="414" t="s">
        <v>101</v>
      </c>
      <c r="AQ54" s="394">
        <f>AR54+(POLLUSTOP!$G$43*0.6)</f>
        <v>3340.06</v>
      </c>
      <c r="AR54" s="923">
        <v>3340.06</v>
      </c>
      <c r="AS54" s="595">
        <v>3151</v>
      </c>
      <c r="AU54" s="809" t="s">
        <v>914</v>
      </c>
      <c r="AV54" s="413"/>
      <c r="AW54" s="408"/>
      <c r="AX54" s="803"/>
    </row>
    <row r="55" spans="1:55" ht="14.5" customHeight="1" x14ac:dyDescent="0.15">
      <c r="E55" s="912" t="s">
        <v>1177</v>
      </c>
      <c r="F55" s="899">
        <v>540.6</v>
      </c>
      <c r="G55" s="597">
        <v>510</v>
      </c>
      <c r="H55" s="404"/>
      <c r="U55" s="812" t="s">
        <v>1395</v>
      </c>
      <c r="V55" s="923">
        <v>2550</v>
      </c>
      <c r="W55" s="595">
        <v>2550</v>
      </c>
      <c r="Y55" s="393" t="s">
        <v>413</v>
      </c>
      <c r="Z55" s="406" t="s">
        <v>306</v>
      </c>
      <c r="AA55" s="916">
        <v>2129.1266000000001</v>
      </c>
      <c r="AB55" s="597">
        <v>2008.61</v>
      </c>
      <c r="AC55" s="395">
        <v>8</v>
      </c>
      <c r="AD55" s="406" t="s">
        <v>246</v>
      </c>
      <c r="AE55" s="395">
        <v>2</v>
      </c>
      <c r="AF55" s="396">
        <f t="shared" ref="AF55:AF65" si="7">IF(AD55="S",AC55*$AD$1*AE55,AC55*$AD$3*AE55)</f>
        <v>1.6</v>
      </c>
      <c r="AJ55" s="1057"/>
      <c r="AM55" s="897"/>
      <c r="AN55" s="595">
        <v>118.77000000000001</v>
      </c>
      <c r="AO55" s="601"/>
      <c r="AP55" s="414" t="s">
        <v>103</v>
      </c>
      <c r="AQ55" s="394">
        <f>AR55+(POLLUSTOP!$G$43*0.6)</f>
        <v>3781.02</v>
      </c>
      <c r="AR55" s="923">
        <v>3781.02</v>
      </c>
      <c r="AS55" s="595">
        <v>3567</v>
      </c>
      <c r="AU55" s="809"/>
      <c r="AV55" s="413"/>
      <c r="AW55" s="408"/>
      <c r="AX55" s="803"/>
    </row>
    <row r="56" spans="1:55" ht="14.5" customHeight="1" x14ac:dyDescent="0.2">
      <c r="A56" s="405"/>
      <c r="B56" s="401"/>
      <c r="C56" s="401"/>
      <c r="E56" s="912" t="s">
        <v>1215</v>
      </c>
      <c r="F56" s="899">
        <v>890.40000000000009</v>
      </c>
      <c r="G56" s="597">
        <v>840</v>
      </c>
      <c r="H56" s="404"/>
      <c r="U56" s="812" t="s">
        <v>849</v>
      </c>
      <c r="V56" s="923">
        <v>3230</v>
      </c>
      <c r="W56" s="595">
        <v>3230</v>
      </c>
      <c r="Y56" s="393" t="s">
        <v>414</v>
      </c>
      <c r="Z56" s="406" t="s">
        <v>307</v>
      </c>
      <c r="AA56" s="916">
        <v>3027.2328000000002</v>
      </c>
      <c r="AB56" s="597">
        <v>2855.88</v>
      </c>
      <c r="AC56" s="395">
        <v>8</v>
      </c>
      <c r="AD56" s="406" t="s">
        <v>246</v>
      </c>
      <c r="AE56" s="395">
        <v>3</v>
      </c>
      <c r="AF56" s="396">
        <f t="shared" si="7"/>
        <v>2.4000000000000004</v>
      </c>
      <c r="AJ56" s="1057"/>
      <c r="AL56" s="393" t="s">
        <v>437</v>
      </c>
      <c r="AM56" s="897"/>
      <c r="AN56" s="595">
        <v>0</v>
      </c>
      <c r="AO56" s="601"/>
      <c r="AP56" s="414" t="s">
        <v>102</v>
      </c>
      <c r="AQ56" s="394">
        <f>AR56+(POLLUSTOP!$G$44*0.6)</f>
        <v>4185.9400000000005</v>
      </c>
      <c r="AR56" s="923">
        <v>4185.9400000000005</v>
      </c>
      <c r="AS56" s="595">
        <v>3949</v>
      </c>
      <c r="AU56" s="185" t="s">
        <v>939</v>
      </c>
      <c r="AV56" s="822"/>
      <c r="AW56" s="823"/>
      <c r="AX56" s="922">
        <v>97.1066</v>
      </c>
      <c r="AY56" s="600">
        <v>91.61</v>
      </c>
    </row>
    <row r="57" spans="1:55" ht="14.5" customHeight="1" x14ac:dyDescent="0.2">
      <c r="A57" s="405"/>
      <c r="B57" s="401"/>
      <c r="C57" s="401"/>
      <c r="E57" s="912" t="s">
        <v>1182</v>
      </c>
      <c r="F57" s="899">
        <v>556.5</v>
      </c>
      <c r="G57" s="597">
        <v>525</v>
      </c>
      <c r="H57" s="404"/>
      <c r="U57" s="812"/>
      <c r="Y57" s="393" t="s">
        <v>415</v>
      </c>
      <c r="Z57" s="406" t="s">
        <v>308</v>
      </c>
      <c r="AA57" s="916">
        <v>3925.3390000000004</v>
      </c>
      <c r="AB57" s="597">
        <v>3703.15</v>
      </c>
      <c r="AC57" s="395">
        <v>8</v>
      </c>
      <c r="AD57" s="406" t="s">
        <v>246</v>
      </c>
      <c r="AE57" s="395">
        <v>4</v>
      </c>
      <c r="AF57" s="396">
        <f t="shared" si="7"/>
        <v>3.2</v>
      </c>
      <c r="AJ57" s="1057"/>
      <c r="AM57" s="897"/>
      <c r="AN57" s="595">
        <v>0</v>
      </c>
      <c r="AO57" s="601"/>
      <c r="AP57" s="405"/>
      <c r="AU57" s="185" t="s">
        <v>940</v>
      </c>
      <c r="AV57" s="822"/>
      <c r="AW57" s="823"/>
      <c r="AX57" s="922">
        <v>108.226</v>
      </c>
      <c r="AY57" s="600">
        <v>102.1</v>
      </c>
    </row>
    <row r="58" spans="1:55" ht="14.5" customHeight="1" x14ac:dyDescent="0.2">
      <c r="A58" s="405"/>
      <c r="B58" s="401"/>
      <c r="C58" s="401"/>
      <c r="E58" s="912" t="s">
        <v>1162</v>
      </c>
      <c r="F58" s="899">
        <v>540.6</v>
      </c>
      <c r="G58" s="597">
        <v>510</v>
      </c>
      <c r="H58" s="404"/>
      <c r="Y58" s="393" t="s">
        <v>416</v>
      </c>
      <c r="Z58" s="406" t="s">
        <v>309</v>
      </c>
      <c r="AA58" s="916">
        <v>4823.4452000000001</v>
      </c>
      <c r="AB58" s="597">
        <v>4550.42</v>
      </c>
      <c r="AC58" s="395">
        <v>8</v>
      </c>
      <c r="AD58" s="406" t="s">
        <v>246</v>
      </c>
      <c r="AE58" s="395">
        <v>5</v>
      </c>
      <c r="AF58" s="396">
        <f t="shared" si="7"/>
        <v>4</v>
      </c>
      <c r="AJ58" s="1057"/>
      <c r="AK58" s="417" t="s">
        <v>110</v>
      </c>
      <c r="AL58" s="416" t="s">
        <v>437</v>
      </c>
      <c r="AM58" s="417"/>
      <c r="AP58" s="423" t="s">
        <v>89</v>
      </c>
      <c r="AQ58" s="417"/>
      <c r="AR58" s="417"/>
      <c r="AS58" s="417"/>
      <c r="AU58" s="185" t="s">
        <v>888</v>
      </c>
      <c r="AV58" s="822"/>
      <c r="AW58" s="823"/>
      <c r="AX58" s="922">
        <v>102.30060000000002</v>
      </c>
      <c r="AY58" s="827">
        <v>96.51</v>
      </c>
    </row>
    <row r="59" spans="1:55" ht="14.5" customHeight="1" x14ac:dyDescent="0.2">
      <c r="A59" s="405"/>
      <c r="B59" s="401"/>
      <c r="C59" s="401"/>
      <c r="E59" s="912" t="s">
        <v>1175</v>
      </c>
      <c r="F59" s="899">
        <v>424</v>
      </c>
      <c r="G59" s="598">
        <v>400</v>
      </c>
      <c r="H59" s="404"/>
      <c r="Y59" s="393" t="s">
        <v>417</v>
      </c>
      <c r="Z59" s="406" t="s">
        <v>310</v>
      </c>
      <c r="AA59" s="916">
        <v>5721.5514000000003</v>
      </c>
      <c r="AB59" s="597">
        <v>5397.69</v>
      </c>
      <c r="AC59" s="395">
        <v>8</v>
      </c>
      <c r="AD59" s="406" t="s">
        <v>246</v>
      </c>
      <c r="AE59" s="395">
        <v>6</v>
      </c>
      <c r="AF59" s="396">
        <f t="shared" si="7"/>
        <v>4.8000000000000007</v>
      </c>
      <c r="AJ59" s="1057"/>
      <c r="AK59" s="393" t="s">
        <v>229</v>
      </c>
      <c r="AL59" s="393" t="s">
        <v>457</v>
      </c>
      <c r="AM59" s="899">
        <v>387.96000000000004</v>
      </c>
      <c r="AN59" s="595">
        <v>366</v>
      </c>
      <c r="AO59" s="601"/>
      <c r="AP59" s="414" t="s">
        <v>77</v>
      </c>
      <c r="AQ59" s="394">
        <v>0</v>
      </c>
      <c r="AR59" s="901"/>
      <c r="AS59" s="901"/>
      <c r="AU59" s="185" t="s">
        <v>941</v>
      </c>
      <c r="AV59" s="822"/>
      <c r="AW59" s="823"/>
      <c r="AX59" s="922">
        <v>120.46900000000001</v>
      </c>
      <c r="AY59" s="827">
        <v>113.65</v>
      </c>
    </row>
    <row r="60" spans="1:55" ht="14.5" customHeight="1" x14ac:dyDescent="0.2">
      <c r="A60" s="405"/>
      <c r="B60" s="401"/>
      <c r="C60" s="401"/>
      <c r="E60" s="912" t="s">
        <v>1178</v>
      </c>
      <c r="F60" s="899">
        <v>434.6</v>
      </c>
      <c r="G60" s="598">
        <v>410</v>
      </c>
      <c r="H60" s="404"/>
      <c r="Y60" s="393" t="s">
        <v>418</v>
      </c>
      <c r="Z60" s="406" t="s">
        <v>311</v>
      </c>
      <c r="AA60" s="916">
        <v>6619.6576000000005</v>
      </c>
      <c r="AB60" s="597">
        <v>6244.96</v>
      </c>
      <c r="AC60" s="395">
        <v>8</v>
      </c>
      <c r="AD60" s="406" t="s">
        <v>246</v>
      </c>
      <c r="AE60" s="395">
        <v>7</v>
      </c>
      <c r="AF60" s="396">
        <f t="shared" si="7"/>
        <v>5.6000000000000005</v>
      </c>
      <c r="AJ60" s="1057"/>
      <c r="AK60" s="393" t="s">
        <v>229</v>
      </c>
      <c r="AL60" s="393" t="s">
        <v>458</v>
      </c>
      <c r="AM60" s="899">
        <v>398.56</v>
      </c>
      <c r="AN60" s="595">
        <v>376</v>
      </c>
      <c r="AO60" s="601"/>
      <c r="AP60" s="414" t="s">
        <v>94</v>
      </c>
      <c r="AQ60" s="394">
        <f>(POLLUSTOP!$G$39*0.6)+AR60</f>
        <v>1102.4000000000001</v>
      </c>
      <c r="AR60" s="923">
        <v>1102.4000000000001</v>
      </c>
      <c r="AS60" s="595">
        <v>1040</v>
      </c>
      <c r="AU60" s="185" t="s">
        <v>942</v>
      </c>
      <c r="AV60" s="822"/>
      <c r="AW60" s="823"/>
      <c r="AX60" s="922">
        <v>215.0634</v>
      </c>
      <c r="AY60" s="827">
        <v>202.89</v>
      </c>
    </row>
    <row r="61" spans="1:55" ht="14.5" customHeight="1" x14ac:dyDescent="0.2">
      <c r="A61" s="405"/>
      <c r="B61" s="401"/>
      <c r="C61" s="401"/>
      <c r="E61" s="912" t="s">
        <v>1174</v>
      </c>
      <c r="F61" s="899">
        <v>890.40000000000009</v>
      </c>
      <c r="G61" s="598">
        <v>840</v>
      </c>
      <c r="H61" s="404"/>
      <c r="Y61" s="393" t="s">
        <v>419</v>
      </c>
      <c r="Z61" s="406" t="s">
        <v>312</v>
      </c>
      <c r="AA61" s="916">
        <v>7517.7637999999997</v>
      </c>
      <c r="AB61" s="597">
        <v>7092.23</v>
      </c>
      <c r="AC61" s="395">
        <v>8</v>
      </c>
      <c r="AD61" s="406" t="s">
        <v>246</v>
      </c>
      <c r="AE61" s="395">
        <v>8</v>
      </c>
      <c r="AF61" s="396">
        <f t="shared" si="7"/>
        <v>6.4</v>
      </c>
      <c r="AJ61" s="1057"/>
      <c r="AK61" s="393" t="s">
        <v>229</v>
      </c>
      <c r="AL61" s="393" t="s">
        <v>459</v>
      </c>
      <c r="AM61" s="899">
        <v>412.34000000000003</v>
      </c>
      <c r="AN61" s="595">
        <v>389</v>
      </c>
      <c r="AO61" s="601"/>
      <c r="AP61" s="414" t="s">
        <v>95</v>
      </c>
      <c r="AQ61" s="394">
        <f>AR61+(POLLUSTOP!$G$40*0.6)</f>
        <v>2642.84</v>
      </c>
      <c r="AR61" s="923">
        <v>1445.8400000000001</v>
      </c>
      <c r="AS61" s="595">
        <v>1364</v>
      </c>
      <c r="AU61" s="185" t="s">
        <v>943</v>
      </c>
      <c r="AV61" s="822"/>
      <c r="AW61" s="823"/>
      <c r="AX61" s="922">
        <v>461.33320000000003</v>
      </c>
      <c r="AY61" s="827">
        <v>435.22</v>
      </c>
    </row>
    <row r="62" spans="1:55" ht="14.5" customHeight="1" x14ac:dyDescent="0.2">
      <c r="A62" s="405"/>
      <c r="B62" s="401"/>
      <c r="C62" s="401"/>
      <c r="E62" s="912" t="s">
        <v>1116</v>
      </c>
      <c r="F62" s="899">
        <v>636</v>
      </c>
      <c r="G62" s="598">
        <v>600</v>
      </c>
      <c r="H62" s="404"/>
      <c r="Y62" s="393" t="s">
        <v>420</v>
      </c>
      <c r="Z62" s="406" t="s">
        <v>313</v>
      </c>
      <c r="AA62" s="916">
        <v>8415.8700000000008</v>
      </c>
      <c r="AB62" s="597">
        <v>7939.5</v>
      </c>
      <c r="AC62" s="395">
        <v>8</v>
      </c>
      <c r="AD62" s="406" t="s">
        <v>246</v>
      </c>
      <c r="AE62" s="395">
        <v>9</v>
      </c>
      <c r="AF62" s="396">
        <f t="shared" si="7"/>
        <v>7.2</v>
      </c>
      <c r="AJ62" s="1057"/>
      <c r="AK62" s="393" t="s">
        <v>229</v>
      </c>
      <c r="AL62" s="393" t="s">
        <v>460</v>
      </c>
      <c r="AM62" s="899">
        <v>481.24</v>
      </c>
      <c r="AN62" s="595">
        <v>454</v>
      </c>
      <c r="AO62" s="601"/>
      <c r="AP62" s="414" t="s">
        <v>96</v>
      </c>
      <c r="AQ62" s="394">
        <f>AR62+(POLLUSTOP!$G$41*0.6)</f>
        <v>2810.62</v>
      </c>
      <c r="AR62" s="923">
        <v>1724.6200000000001</v>
      </c>
      <c r="AS62" s="595">
        <v>1627</v>
      </c>
      <c r="AU62" s="185"/>
      <c r="AV62" s="822"/>
      <c r="AW62" s="823"/>
      <c r="AX62" s="817"/>
      <c r="AY62" s="827"/>
    </row>
    <row r="63" spans="1:55" ht="14.5" customHeight="1" x14ac:dyDescent="0.15">
      <c r="E63" s="403"/>
      <c r="F63" s="899"/>
      <c r="G63" s="598"/>
      <c r="H63" s="404"/>
      <c r="Y63" s="393" t="s">
        <v>421</v>
      </c>
      <c r="Z63" s="406" t="s">
        <v>314</v>
      </c>
      <c r="AA63" s="916">
        <v>9313.976200000001</v>
      </c>
      <c r="AB63" s="597">
        <v>8786.77</v>
      </c>
      <c r="AC63" s="395">
        <v>8</v>
      </c>
      <c r="AD63" s="406" t="s">
        <v>246</v>
      </c>
      <c r="AE63" s="395">
        <v>10</v>
      </c>
      <c r="AF63" s="396">
        <f t="shared" si="7"/>
        <v>8</v>
      </c>
      <c r="AJ63" s="1057"/>
      <c r="AK63" s="393" t="s">
        <v>229</v>
      </c>
      <c r="AL63" s="393" t="s">
        <v>461</v>
      </c>
      <c r="AM63" s="899">
        <v>517.28</v>
      </c>
      <c r="AN63" s="595">
        <v>488</v>
      </c>
      <c r="AO63" s="601"/>
      <c r="AP63" s="414" t="s">
        <v>97</v>
      </c>
      <c r="AQ63" s="394">
        <f>AR63+(POLLUSTOP!$G$41*0.6)</f>
        <v>3196.46</v>
      </c>
      <c r="AR63" s="923">
        <v>2110.46</v>
      </c>
      <c r="AS63" s="595">
        <v>1991</v>
      </c>
      <c r="AU63" s="809" t="s">
        <v>913</v>
      </c>
      <c r="AV63" s="413"/>
      <c r="AW63" s="408"/>
      <c r="AX63" s="803"/>
      <c r="BA63" s="812" t="s">
        <v>916</v>
      </c>
      <c r="BB63" s="830"/>
      <c r="BC63" s="830"/>
    </row>
    <row r="64" spans="1:55" ht="14.5" customHeight="1" x14ac:dyDescent="0.15">
      <c r="E64" s="912" t="s">
        <v>1163</v>
      </c>
      <c r="F64" s="899">
        <v>858.6</v>
      </c>
      <c r="G64" s="598">
        <v>810</v>
      </c>
      <c r="H64" s="404"/>
      <c r="Y64" s="393" t="s">
        <v>422</v>
      </c>
      <c r="Z64" s="406" t="s">
        <v>315</v>
      </c>
      <c r="AA64" s="916">
        <v>10212.082400000001</v>
      </c>
      <c r="AB64" s="597">
        <v>9634.0400000000009</v>
      </c>
      <c r="AC64" s="395">
        <v>8</v>
      </c>
      <c r="AD64" s="406" t="s">
        <v>246</v>
      </c>
      <c r="AE64" s="395">
        <v>11</v>
      </c>
      <c r="AF64" s="396">
        <f t="shared" si="7"/>
        <v>8.8000000000000007</v>
      </c>
      <c r="AJ64" s="1057"/>
      <c r="AK64" s="393" t="s">
        <v>229</v>
      </c>
      <c r="AL64" s="393" t="s">
        <v>462</v>
      </c>
      <c r="AM64" s="899">
        <v>570.28</v>
      </c>
      <c r="AN64" s="595">
        <v>538</v>
      </c>
      <c r="AO64" s="601"/>
      <c r="AP64" s="414" t="s">
        <v>98</v>
      </c>
      <c r="AQ64" s="394">
        <f>AR64+(POLLUSTOP!$G$42*0.6)</f>
        <v>2462.38</v>
      </c>
      <c r="AR64" s="923">
        <v>2462.38</v>
      </c>
      <c r="AS64" s="595">
        <v>2323</v>
      </c>
      <c r="AU64" s="809"/>
      <c r="AV64" s="413"/>
      <c r="AW64" s="408"/>
      <c r="AX64" s="803"/>
      <c r="BA64" s="812"/>
      <c r="BB64" s="830"/>
      <c r="BC64" s="830"/>
    </row>
    <row r="65" spans="1:55" ht="14.5" customHeight="1" x14ac:dyDescent="0.2">
      <c r="E65" s="912" t="s">
        <v>1121</v>
      </c>
      <c r="F65" s="899">
        <v>556.5</v>
      </c>
      <c r="G65" s="598">
        <v>525</v>
      </c>
      <c r="H65" s="404"/>
      <c r="Y65" s="393" t="s">
        <v>423</v>
      </c>
      <c r="Z65" s="406" t="s">
        <v>316</v>
      </c>
      <c r="AA65" s="916">
        <v>11110.188599999999</v>
      </c>
      <c r="AB65" s="597">
        <v>10481.31</v>
      </c>
      <c r="AC65" s="395">
        <v>8</v>
      </c>
      <c r="AD65" s="406" t="s">
        <v>246</v>
      </c>
      <c r="AE65" s="395">
        <v>12</v>
      </c>
      <c r="AF65" s="396">
        <f t="shared" si="7"/>
        <v>9.6000000000000014</v>
      </c>
      <c r="AJ65" s="1057"/>
      <c r="AK65" s="393" t="s">
        <v>229</v>
      </c>
      <c r="AL65" s="393" t="s">
        <v>462</v>
      </c>
      <c r="AM65" s="899">
        <v>602.08000000000004</v>
      </c>
      <c r="AN65" s="595">
        <v>568</v>
      </c>
      <c r="AO65" s="601"/>
      <c r="AP65" s="414" t="s">
        <v>99</v>
      </c>
      <c r="AQ65" s="394">
        <f>AR65+(POLLUSTOP!$G$42*0.6)</f>
        <v>2776.1400000000003</v>
      </c>
      <c r="AR65" s="923">
        <v>2776.1400000000003</v>
      </c>
      <c r="AS65" s="595">
        <v>2619</v>
      </c>
      <c r="AU65" s="185" t="s">
        <v>933</v>
      </c>
      <c r="AV65" s="822"/>
      <c r="AW65" s="823"/>
      <c r="AX65" s="922">
        <v>207.79180000000002</v>
      </c>
      <c r="AY65" s="827">
        <v>196.03</v>
      </c>
      <c r="BA65" s="829">
        <v>0.33</v>
      </c>
      <c r="BB65" s="830"/>
      <c r="BC65" s="830"/>
    </row>
    <row r="66" spans="1:55" ht="14.5" customHeight="1" x14ac:dyDescent="0.2">
      <c r="A66" s="405" t="s">
        <v>344</v>
      </c>
      <c r="B66" s="401" t="s">
        <v>86</v>
      </c>
      <c r="C66" s="401"/>
      <c r="E66" s="912" t="s">
        <v>1216</v>
      </c>
      <c r="F66" s="899">
        <v>323.3</v>
      </c>
      <c r="G66" s="598">
        <v>305</v>
      </c>
      <c r="H66" s="404"/>
      <c r="Y66" s="393" t="s">
        <v>424</v>
      </c>
      <c r="Z66" s="406" t="s">
        <v>317</v>
      </c>
      <c r="AA66" s="916">
        <v>1264.6436000000001</v>
      </c>
      <c r="AB66" s="597">
        <v>1193.06</v>
      </c>
      <c r="AC66" s="395">
        <v>8</v>
      </c>
      <c r="AD66" s="406" t="s">
        <v>248</v>
      </c>
      <c r="AE66" s="395">
        <v>1</v>
      </c>
      <c r="AF66" s="396">
        <f>IF(AD66="S",AC66*#REF!*AE66,AC66*$AD$3*AE66)</f>
        <v>1.6</v>
      </c>
      <c r="AJ66" s="1057"/>
      <c r="AP66" s="414" t="s">
        <v>100</v>
      </c>
      <c r="AQ66" s="394">
        <f>AR66+(POLLUSTOP!$G$43*0.6)</f>
        <v>3365.5</v>
      </c>
      <c r="AR66" s="923">
        <v>3365.5</v>
      </c>
      <c r="AS66" s="595">
        <v>3175</v>
      </c>
      <c r="AU66" s="185" t="s">
        <v>934</v>
      </c>
      <c r="AV66" s="822"/>
      <c r="AW66" s="823"/>
      <c r="AX66" s="922">
        <v>212.37100000000001</v>
      </c>
      <c r="AY66" s="827">
        <v>200.35</v>
      </c>
      <c r="BA66" s="829">
        <v>0.33</v>
      </c>
      <c r="BB66" s="830"/>
      <c r="BC66" s="830"/>
    </row>
    <row r="67" spans="1:55" ht="14.5" customHeight="1" x14ac:dyDescent="0.2">
      <c r="A67" s="405" t="s">
        <v>345</v>
      </c>
      <c r="B67" s="401" t="s">
        <v>86</v>
      </c>
      <c r="C67" s="401"/>
      <c r="E67" s="912" t="s">
        <v>1217</v>
      </c>
      <c r="F67" s="899">
        <v>344.5</v>
      </c>
      <c r="G67" s="598">
        <v>325</v>
      </c>
      <c r="H67" s="404"/>
      <c r="Y67" s="393" t="s">
        <v>425</v>
      </c>
      <c r="Z67" s="406" t="s">
        <v>318</v>
      </c>
      <c r="AA67" s="916">
        <v>2148.6730000000002</v>
      </c>
      <c r="AB67" s="597">
        <v>2027.05</v>
      </c>
      <c r="AC67" s="395">
        <v>8</v>
      </c>
      <c r="AD67" s="406" t="s">
        <v>248</v>
      </c>
      <c r="AE67" s="395">
        <v>2</v>
      </c>
      <c r="AF67" s="396">
        <f>IF(AD67="S",AC67*#REF!*AE67,AC67*$AD$3*AE67)</f>
        <v>3.2</v>
      </c>
      <c r="AJ67" s="1057"/>
      <c r="AP67" s="414" t="s">
        <v>101</v>
      </c>
      <c r="AQ67" s="394">
        <f>AR67+(POLLUSTOP!$G$43*0.6)</f>
        <v>3977.1200000000003</v>
      </c>
      <c r="AR67" s="923">
        <v>3977.1200000000003</v>
      </c>
      <c r="AS67" s="595">
        <v>3752</v>
      </c>
      <c r="AU67" s="185" t="s">
        <v>889</v>
      </c>
      <c r="AV67" s="822"/>
      <c r="AW67" s="823"/>
      <c r="AX67" s="922">
        <v>346.27020000000005</v>
      </c>
      <c r="AY67" s="827">
        <v>326.67</v>
      </c>
      <c r="BA67" s="829">
        <v>2</v>
      </c>
      <c r="BB67" s="830"/>
      <c r="BC67" s="830"/>
    </row>
    <row r="68" spans="1:55" ht="14.5" customHeight="1" x14ac:dyDescent="0.2">
      <c r="A68" s="405" t="s">
        <v>337</v>
      </c>
      <c r="B68" s="401" t="s">
        <v>334</v>
      </c>
      <c r="C68" s="401"/>
      <c r="E68" s="912" t="s">
        <v>1218</v>
      </c>
      <c r="F68" s="899">
        <v>1711.9</v>
      </c>
      <c r="G68" s="598">
        <v>1615</v>
      </c>
      <c r="H68" s="404"/>
      <c r="Y68" s="393" t="s">
        <v>426</v>
      </c>
      <c r="Z68" s="406" t="s">
        <v>319</v>
      </c>
      <c r="AA68" s="916">
        <v>3128.1024000000002</v>
      </c>
      <c r="AB68" s="597">
        <v>2951.04</v>
      </c>
      <c r="AC68" s="395">
        <v>8</v>
      </c>
      <c r="AD68" s="406" t="s">
        <v>248</v>
      </c>
      <c r="AE68" s="395">
        <v>3</v>
      </c>
      <c r="AF68" s="396">
        <f>IF(AD68="S",AC68*#REF!*AE68,AC68*$AD$3*AE68)</f>
        <v>4.8000000000000007</v>
      </c>
      <c r="AJ68" s="1057"/>
      <c r="AK68" s="417" t="s">
        <v>701</v>
      </c>
      <c r="AL68" s="416" t="s">
        <v>437</v>
      </c>
      <c r="AM68" s="417"/>
      <c r="AN68" s="417"/>
      <c r="AP68" s="414" t="s">
        <v>103</v>
      </c>
      <c r="AQ68" s="394">
        <f>AR68+(POLLUSTOP!$G$43*0.6)</f>
        <v>4307.84</v>
      </c>
      <c r="AR68" s="923">
        <v>4307.84</v>
      </c>
      <c r="AS68" s="595">
        <v>4064</v>
      </c>
      <c r="AU68" s="185" t="s">
        <v>935</v>
      </c>
      <c r="AV68" s="822"/>
      <c r="AW68" s="823"/>
      <c r="AX68" s="922">
        <v>362.94400000000002</v>
      </c>
      <c r="AY68" s="827">
        <v>342.4</v>
      </c>
      <c r="BA68" s="829">
        <v>2</v>
      </c>
      <c r="BB68" s="830"/>
      <c r="BC68" s="830"/>
    </row>
    <row r="69" spans="1:55" ht="14.5" customHeight="1" x14ac:dyDescent="0.2">
      <c r="A69" s="405" t="s">
        <v>189</v>
      </c>
      <c r="B69" s="401" t="s">
        <v>333</v>
      </c>
      <c r="C69" s="401"/>
      <c r="E69" s="912" t="s">
        <v>1113</v>
      </c>
      <c r="F69" s="899">
        <v>969.90000000000009</v>
      </c>
      <c r="G69" s="598">
        <v>915</v>
      </c>
      <c r="H69" s="404"/>
      <c r="Y69" s="393" t="s">
        <v>427</v>
      </c>
      <c r="Z69" s="406" t="s">
        <v>320</v>
      </c>
      <c r="AA69" s="916">
        <v>4059.8318000000004</v>
      </c>
      <c r="AB69" s="597">
        <v>3830.03</v>
      </c>
      <c r="AC69" s="395">
        <v>8</v>
      </c>
      <c r="AD69" s="406" t="s">
        <v>248</v>
      </c>
      <c r="AE69" s="395">
        <v>4</v>
      </c>
      <c r="AF69" s="396">
        <f>IF(AD69="S",AC69*#REF!*AE69,AC69*$AD$3*AE69)</f>
        <v>6.4</v>
      </c>
      <c r="AJ69" s="1057"/>
      <c r="AK69" s="393" t="s">
        <v>112</v>
      </c>
      <c r="AL69" s="812" t="s">
        <v>1093</v>
      </c>
      <c r="AM69" s="899">
        <v>127.2</v>
      </c>
      <c r="AN69" s="595">
        <v>120</v>
      </c>
      <c r="AO69" s="601"/>
      <c r="AP69" s="414" t="s">
        <v>102</v>
      </c>
      <c r="AQ69" s="394">
        <f>AR69+(POLLUSTOP!$G$44*0.6)</f>
        <v>5139.9400000000005</v>
      </c>
      <c r="AR69" s="923">
        <v>5139.9400000000005</v>
      </c>
      <c r="AS69" s="595">
        <v>4849</v>
      </c>
      <c r="AU69" s="185" t="s">
        <v>936</v>
      </c>
      <c r="AV69" s="822"/>
      <c r="AW69" s="823"/>
      <c r="AX69" s="922">
        <v>311.41740000000004</v>
      </c>
      <c r="AY69" s="827">
        <v>293.79000000000002</v>
      </c>
      <c r="BA69" s="829">
        <v>1</v>
      </c>
      <c r="BB69" s="830"/>
      <c r="BC69" s="830"/>
    </row>
    <row r="70" spans="1:55" ht="14.5" customHeight="1" x14ac:dyDescent="0.2">
      <c r="A70" s="405" t="s">
        <v>188</v>
      </c>
      <c r="B70" s="401" t="s">
        <v>333</v>
      </c>
      <c r="C70" s="401"/>
      <c r="E70" s="912" t="s">
        <v>1219</v>
      </c>
      <c r="F70" s="899">
        <v>482.3</v>
      </c>
      <c r="G70" s="598">
        <v>455</v>
      </c>
      <c r="H70" s="404"/>
      <c r="Y70" s="393" t="s">
        <v>428</v>
      </c>
      <c r="Z70" s="406" t="s">
        <v>321</v>
      </c>
      <c r="AA70" s="916">
        <v>4991.561200000001</v>
      </c>
      <c r="AB70" s="597">
        <v>4709.0200000000004</v>
      </c>
      <c r="AC70" s="395">
        <v>8</v>
      </c>
      <c r="AD70" s="406" t="s">
        <v>248</v>
      </c>
      <c r="AE70" s="395">
        <v>5</v>
      </c>
      <c r="AF70" s="396">
        <f>IF(AD70="S",AC70*#REF!*AE70,AC70*$AD$3*AE70)</f>
        <v>8</v>
      </c>
      <c r="AJ70" s="1057"/>
      <c r="AK70" s="393" t="s">
        <v>111</v>
      </c>
      <c r="AL70" s="812" t="s">
        <v>1094</v>
      </c>
      <c r="AM70" s="899">
        <v>127.2</v>
      </c>
      <c r="AN70" s="595">
        <v>120</v>
      </c>
      <c r="AO70" s="601"/>
      <c r="AP70" s="405"/>
      <c r="AU70" s="185" t="s">
        <v>937</v>
      </c>
      <c r="AV70" s="822"/>
      <c r="AW70" s="823"/>
      <c r="AX70" s="922">
        <v>927.01239999999996</v>
      </c>
      <c r="AY70" s="827">
        <v>874.54</v>
      </c>
      <c r="BA70" s="829">
        <v>1</v>
      </c>
      <c r="BB70" s="830"/>
      <c r="BC70" s="830"/>
    </row>
    <row r="71" spans="1:55" ht="14.5" customHeight="1" x14ac:dyDescent="0.2">
      <c r="E71" s="912" t="s">
        <v>1220</v>
      </c>
      <c r="F71" s="899">
        <v>424</v>
      </c>
      <c r="G71" s="598">
        <v>400</v>
      </c>
      <c r="H71" s="404"/>
      <c r="Y71" s="393" t="s">
        <v>429</v>
      </c>
      <c r="Z71" s="406" t="s">
        <v>322</v>
      </c>
      <c r="AA71" s="916">
        <v>5923.2906000000003</v>
      </c>
      <c r="AB71" s="597">
        <v>5588.01</v>
      </c>
      <c r="AC71" s="395">
        <v>8</v>
      </c>
      <c r="AD71" s="406" t="s">
        <v>248</v>
      </c>
      <c r="AE71" s="395">
        <v>6</v>
      </c>
      <c r="AF71" s="396">
        <f>IF(AD71="S",AC71*#REF!*AE71,AC71*$AD$3*AE71)</f>
        <v>9.6000000000000014</v>
      </c>
      <c r="AJ71" s="1057"/>
      <c r="AK71" s="393" t="s">
        <v>113</v>
      </c>
      <c r="AL71" s="393" t="s">
        <v>240</v>
      </c>
      <c r="AM71" s="899">
        <v>583</v>
      </c>
      <c r="AN71" s="595">
        <v>550</v>
      </c>
      <c r="AO71" s="601"/>
      <c r="AP71" s="423" t="s">
        <v>30</v>
      </c>
      <c r="AQ71" s="417"/>
      <c r="AR71" s="417"/>
      <c r="AS71" s="417"/>
      <c r="AU71" s="920" t="s">
        <v>915</v>
      </c>
      <c r="AV71" s="918"/>
      <c r="AW71" s="919"/>
      <c r="AX71" s="922">
        <v>351.04020000000003</v>
      </c>
      <c r="AY71" s="827">
        <v>331.17</v>
      </c>
      <c r="BA71" s="829">
        <v>1</v>
      </c>
      <c r="BB71" s="830"/>
      <c r="BC71" s="830"/>
    </row>
    <row r="72" spans="1:55" ht="14.5" customHeight="1" x14ac:dyDescent="0.2">
      <c r="E72" s="912" t="s">
        <v>1221</v>
      </c>
      <c r="F72" s="899">
        <v>1469.16</v>
      </c>
      <c r="G72" s="598">
        <v>1386</v>
      </c>
      <c r="H72" s="404"/>
      <c r="Y72" s="393" t="s">
        <v>430</v>
      </c>
      <c r="Z72" s="406" t="s">
        <v>323</v>
      </c>
      <c r="AA72" s="916">
        <v>6855.02</v>
      </c>
      <c r="AB72" s="597">
        <v>6467</v>
      </c>
      <c r="AC72" s="395">
        <v>8</v>
      </c>
      <c r="AD72" s="406" t="s">
        <v>248</v>
      </c>
      <c r="AE72" s="395">
        <v>7</v>
      </c>
      <c r="AF72" s="396">
        <f>IF(AD72="S",AC72*#REF!*AE72,AC72*$AD$3*AE72)</f>
        <v>11.200000000000001</v>
      </c>
      <c r="AJ72" s="1057"/>
      <c r="AK72" s="393" t="s">
        <v>13</v>
      </c>
      <c r="AL72" s="393" t="s">
        <v>241</v>
      </c>
      <c r="AM72" s="899">
        <v>127.2</v>
      </c>
      <c r="AN72" s="595">
        <v>120</v>
      </c>
      <c r="AO72" s="601"/>
      <c r="AP72" s="414" t="s">
        <v>77</v>
      </c>
      <c r="AQ72" s="394">
        <v>0</v>
      </c>
      <c r="AR72" s="901"/>
      <c r="AS72" s="901"/>
      <c r="AU72" s="920" t="s">
        <v>938</v>
      </c>
      <c r="AV72" s="918"/>
      <c r="AW72" s="919"/>
      <c r="AX72" s="922">
        <v>367.714</v>
      </c>
      <c r="AY72" s="827">
        <v>346.9</v>
      </c>
      <c r="BA72" s="829">
        <v>1</v>
      </c>
      <c r="BB72" s="830"/>
    </row>
    <row r="73" spans="1:55" ht="14.5" customHeight="1" x14ac:dyDescent="0.15">
      <c r="E73" s="912" t="s">
        <v>1222</v>
      </c>
      <c r="F73" s="899">
        <v>371</v>
      </c>
      <c r="G73" s="598">
        <v>350</v>
      </c>
      <c r="H73" s="404"/>
      <c r="Y73" s="393" t="s">
        <v>431</v>
      </c>
      <c r="Z73" s="406" t="s">
        <v>324</v>
      </c>
      <c r="AA73" s="916">
        <v>7786.7494000000006</v>
      </c>
      <c r="AB73" s="597">
        <v>7345.99</v>
      </c>
      <c r="AC73" s="395">
        <v>8</v>
      </c>
      <c r="AD73" s="406" t="s">
        <v>248</v>
      </c>
      <c r="AE73" s="395">
        <v>8</v>
      </c>
      <c r="AF73" s="396">
        <f>IF(AD73="S",AC73*#REF!*AE73,AC73*$AD$3*AE73)</f>
        <v>12.8</v>
      </c>
      <c r="AJ73" s="1057"/>
      <c r="AK73" s="393" t="s">
        <v>228</v>
      </c>
      <c r="AL73" s="393" t="s">
        <v>240</v>
      </c>
      <c r="AM73" s="899">
        <v>603</v>
      </c>
      <c r="AN73" s="595">
        <v>423</v>
      </c>
      <c r="AO73" s="601"/>
      <c r="AP73" s="414" t="s">
        <v>610</v>
      </c>
      <c r="AQ73" s="394">
        <f>(POLLUSTOP!$G$39*0.8)+AR73</f>
        <v>1291.0800000000002</v>
      </c>
      <c r="AR73" s="923">
        <f>AS73*1.06</f>
        <v>1291.0800000000002</v>
      </c>
      <c r="AS73" s="595">
        <v>1218</v>
      </c>
      <c r="AU73" s="828"/>
      <c r="AV73" s="822"/>
      <c r="AW73" s="823"/>
      <c r="AX73" s="824"/>
      <c r="AY73" s="827"/>
      <c r="BA73" s="826"/>
    </row>
    <row r="74" spans="1:55" ht="14.5" customHeight="1" x14ac:dyDescent="0.15">
      <c r="E74" s="912" t="s">
        <v>1117</v>
      </c>
      <c r="F74" s="899">
        <v>858.6</v>
      </c>
      <c r="G74" s="598">
        <v>810</v>
      </c>
      <c r="H74" s="404"/>
      <c r="Y74" s="393" t="s">
        <v>432</v>
      </c>
      <c r="Z74" s="406" t="s">
        <v>325</v>
      </c>
      <c r="AA74" s="916">
        <v>8718.4788000000008</v>
      </c>
      <c r="AB74" s="597">
        <v>8224.98</v>
      </c>
      <c r="AC74" s="395">
        <v>8</v>
      </c>
      <c r="AD74" s="406" t="s">
        <v>248</v>
      </c>
      <c r="AE74" s="395">
        <v>9</v>
      </c>
      <c r="AF74" s="396">
        <f>IF(AD74="S",AC74*#REF!*AE74,AC74*$AD$3*AE74)</f>
        <v>14.4</v>
      </c>
      <c r="AJ74" s="1057"/>
      <c r="AK74" s="393" t="s">
        <v>227</v>
      </c>
      <c r="AL74" s="393" t="s">
        <v>242</v>
      </c>
      <c r="AM74" s="899">
        <v>603</v>
      </c>
      <c r="AN74" s="595">
        <v>423</v>
      </c>
      <c r="AO74" s="601"/>
      <c r="AP74" s="414" t="s">
        <v>611</v>
      </c>
      <c r="AQ74" s="394">
        <f>AR74+(POLLUSTOP!$G$40*0.8)</f>
        <v>3568.66</v>
      </c>
      <c r="AR74" s="923">
        <f t="shared" ref="AR74:AR82" si="8">AS74*1.06</f>
        <v>1972.66</v>
      </c>
      <c r="AS74" s="595">
        <v>1861</v>
      </c>
      <c r="AU74" s="809"/>
      <c r="AV74" s="413"/>
      <c r="AW74" s="408"/>
      <c r="AX74" s="803"/>
    </row>
    <row r="75" spans="1:55" ht="14.5" customHeight="1" x14ac:dyDescent="0.15">
      <c r="E75" s="912" t="s">
        <v>1118</v>
      </c>
      <c r="F75" s="899">
        <v>858.6</v>
      </c>
      <c r="G75" s="598">
        <v>810</v>
      </c>
      <c r="H75" s="404"/>
      <c r="Y75" s="393" t="s">
        <v>433</v>
      </c>
      <c r="Z75" s="406" t="s">
        <v>326</v>
      </c>
      <c r="AA75" s="916">
        <v>9650.2081999999991</v>
      </c>
      <c r="AB75" s="597">
        <v>9103.9699999999993</v>
      </c>
      <c r="AC75" s="395">
        <v>8</v>
      </c>
      <c r="AD75" s="406" t="s">
        <v>248</v>
      </c>
      <c r="AE75" s="395">
        <v>10</v>
      </c>
      <c r="AF75" s="396">
        <f>IF(AD75="S",AC75*#REF!*AE75,AC75*$AD$3*AE75)</f>
        <v>16</v>
      </c>
      <c r="AJ75" s="1057"/>
      <c r="AP75" s="414" t="s">
        <v>612</v>
      </c>
      <c r="AQ75" s="394">
        <f>AR75+(POLLUSTOP!$G$41*0.8)</f>
        <v>4078.92</v>
      </c>
      <c r="AR75" s="923">
        <f t="shared" si="8"/>
        <v>2630.92</v>
      </c>
      <c r="AS75" s="595">
        <v>2482</v>
      </c>
      <c r="AU75" s="408" t="s">
        <v>472</v>
      </c>
      <c r="AV75" s="413"/>
      <c r="AW75" s="408"/>
      <c r="AX75" s="803"/>
    </row>
    <row r="76" spans="1:55" ht="14.5" customHeight="1" x14ac:dyDescent="0.15">
      <c r="E76" s="912" t="s">
        <v>1181</v>
      </c>
      <c r="F76" s="899">
        <v>424</v>
      </c>
      <c r="G76" s="598">
        <v>400</v>
      </c>
      <c r="H76" s="404"/>
      <c r="Y76" s="393" t="s">
        <v>434</v>
      </c>
      <c r="Z76" s="406" t="s">
        <v>327</v>
      </c>
      <c r="AA76" s="916">
        <v>10581.937599999999</v>
      </c>
      <c r="AB76" s="597">
        <v>9982.9599999999991</v>
      </c>
      <c r="AC76" s="395">
        <v>8</v>
      </c>
      <c r="AD76" s="406" t="s">
        <v>248</v>
      </c>
      <c r="AE76" s="395">
        <v>11</v>
      </c>
      <c r="AF76" s="396">
        <f>IF(AD76="S",AC76*#REF!*AE76,AC76*$AD$3*AE76)</f>
        <v>17.600000000000001</v>
      </c>
      <c r="AJ76" s="1057"/>
      <c r="AP76" s="414" t="s">
        <v>613</v>
      </c>
      <c r="AQ76" s="394">
        <f>AR76+(POLLUSTOP!$G$41*0.8)</f>
        <v>4675.7000000000007</v>
      </c>
      <c r="AR76" s="923">
        <f t="shared" si="8"/>
        <v>3227.7000000000003</v>
      </c>
      <c r="AS76" s="595">
        <v>3045</v>
      </c>
      <c r="AU76" s="408"/>
      <c r="AV76" s="413"/>
      <c r="AW76" s="408"/>
      <c r="AX76" s="803"/>
    </row>
    <row r="77" spans="1:55" ht="14.5" customHeight="1" x14ac:dyDescent="0.15">
      <c r="E77" s="912" t="s">
        <v>1233</v>
      </c>
      <c r="F77" s="899">
        <v>323.3</v>
      </c>
      <c r="G77" s="598">
        <v>305</v>
      </c>
      <c r="H77" s="404"/>
      <c r="Y77" s="393" t="s">
        <v>435</v>
      </c>
      <c r="Z77" s="406" t="s">
        <v>328</v>
      </c>
      <c r="AA77" s="916">
        <v>11513.667000000001</v>
      </c>
      <c r="AB77" s="597">
        <v>10861.95</v>
      </c>
      <c r="AC77" s="395">
        <v>8</v>
      </c>
      <c r="AD77" s="406" t="s">
        <v>248</v>
      </c>
      <c r="AE77" s="395">
        <v>12</v>
      </c>
      <c r="AF77" s="396">
        <f>IF(AD77="S",AC77*#REF!*AE77,AC77*$AD$3*AE77)</f>
        <v>19.200000000000003</v>
      </c>
      <c r="AJ77" s="1057"/>
      <c r="AP77" s="414" t="s">
        <v>614</v>
      </c>
      <c r="AQ77" s="394">
        <f>AR77+(POLLUSTOP!$G$42*0.8)</f>
        <v>4305.72</v>
      </c>
      <c r="AR77" s="923">
        <f t="shared" si="8"/>
        <v>4305.72</v>
      </c>
      <c r="AS77" s="595">
        <v>4062</v>
      </c>
      <c r="AU77" s="408"/>
      <c r="AV77" s="413"/>
      <c r="AW77" s="408"/>
      <c r="AX77" s="803"/>
    </row>
    <row r="78" spans="1:55" ht="14.5" customHeight="1" x14ac:dyDescent="0.15">
      <c r="E78" s="912" t="s">
        <v>1171</v>
      </c>
      <c r="F78" s="899">
        <v>1590</v>
      </c>
      <c r="G78" s="598">
        <v>1500</v>
      </c>
      <c r="H78" s="404"/>
      <c r="AP78" s="414" t="s">
        <v>615</v>
      </c>
      <c r="AQ78" s="394">
        <f>AR78+(POLLUSTOP!$G$42*0.8)</f>
        <v>4382.04</v>
      </c>
      <c r="AR78" s="923">
        <f t="shared" si="8"/>
        <v>4382.04</v>
      </c>
      <c r="AS78" s="595">
        <v>4134</v>
      </c>
      <c r="AU78" s="809"/>
      <c r="AV78" s="413"/>
      <c r="AW78" s="809"/>
      <c r="AX78" s="803"/>
    </row>
    <row r="79" spans="1:55" ht="14.5" customHeight="1" x14ac:dyDescent="0.15">
      <c r="E79" s="912" t="s">
        <v>1153</v>
      </c>
      <c r="F79" s="899">
        <v>598.9</v>
      </c>
      <c r="G79" s="598">
        <v>565</v>
      </c>
      <c r="H79" s="404"/>
      <c r="AP79" s="414" t="s">
        <v>616</v>
      </c>
      <c r="AQ79" s="394">
        <f>AR79+(POLLUSTOP!$G$43*0.8)</f>
        <v>5936</v>
      </c>
      <c r="AR79" s="923">
        <f t="shared" si="8"/>
        <v>5936</v>
      </c>
      <c r="AS79" s="595">
        <v>5600</v>
      </c>
      <c r="AU79" s="809"/>
      <c r="AV79" s="413"/>
      <c r="AW79" s="809"/>
      <c r="AX79" s="803"/>
    </row>
    <row r="80" spans="1:55" ht="14.5" customHeight="1" x14ac:dyDescent="0.15">
      <c r="E80" s="912" t="s">
        <v>1124</v>
      </c>
      <c r="F80" s="899">
        <v>545.9</v>
      </c>
      <c r="G80" s="598">
        <v>515</v>
      </c>
      <c r="H80" s="404"/>
      <c r="AP80" s="414" t="s">
        <v>617</v>
      </c>
      <c r="AQ80" s="394">
        <f>AR80+(POLLUSTOP!$G$43*0.8)</f>
        <v>6124.68</v>
      </c>
      <c r="AR80" s="923">
        <f t="shared" si="8"/>
        <v>6124.68</v>
      </c>
      <c r="AS80" s="595">
        <v>5778</v>
      </c>
      <c r="AU80" s="809"/>
      <c r="AV80" s="413"/>
      <c r="AW80" s="408"/>
      <c r="AX80" s="803"/>
    </row>
    <row r="81" spans="5:51" ht="14.5" customHeight="1" x14ac:dyDescent="0.15">
      <c r="E81" s="912" t="s">
        <v>1223</v>
      </c>
      <c r="F81" s="899">
        <v>567.1</v>
      </c>
      <c r="G81" s="598">
        <v>535</v>
      </c>
      <c r="H81" s="404"/>
      <c r="AP81" s="414" t="s">
        <v>618</v>
      </c>
      <c r="AQ81" s="394">
        <f>AR81+(POLLUSTOP!$G$43*0.8)</f>
        <v>7725.2800000000007</v>
      </c>
      <c r="AR81" s="923">
        <f t="shared" si="8"/>
        <v>7725.2800000000007</v>
      </c>
      <c r="AS81" s="595">
        <v>7288</v>
      </c>
      <c r="AU81" s="408"/>
      <c r="AV81" s="413"/>
      <c r="AW81" s="408"/>
      <c r="AX81" s="803"/>
    </row>
    <row r="82" spans="5:51" ht="14.5" customHeight="1" x14ac:dyDescent="0.15">
      <c r="E82" s="912" t="s">
        <v>1139</v>
      </c>
      <c r="F82" s="899">
        <v>567.1</v>
      </c>
      <c r="G82" s="598">
        <v>535</v>
      </c>
      <c r="H82" s="404"/>
      <c r="AP82" s="414" t="s">
        <v>619</v>
      </c>
      <c r="AQ82" s="394">
        <f>AR82+(POLLUSTOP!$G$44*0.8)</f>
        <v>8274.36</v>
      </c>
      <c r="AR82" s="923">
        <f t="shared" si="8"/>
        <v>8274.36</v>
      </c>
      <c r="AS82" s="595">
        <v>7806</v>
      </c>
      <c r="AU82" s="408"/>
      <c r="AV82" s="413"/>
      <c r="AW82" s="408"/>
      <c r="AX82" s="803"/>
    </row>
    <row r="83" spans="5:51" ht="14.5" customHeight="1" x14ac:dyDescent="0.15">
      <c r="E83" s="912" t="s">
        <v>1152</v>
      </c>
      <c r="F83" s="899">
        <v>863.90000000000009</v>
      </c>
      <c r="G83" s="598">
        <v>815</v>
      </c>
      <c r="H83" s="404"/>
      <c r="AP83" s="405"/>
      <c r="AU83" s="408"/>
      <c r="AV83" s="413"/>
      <c r="AW83" s="408"/>
      <c r="AX83" s="803"/>
    </row>
    <row r="84" spans="5:51" ht="14.5" customHeight="1" x14ac:dyDescent="0.15">
      <c r="E84" s="912" t="s">
        <v>1224</v>
      </c>
      <c r="F84" s="899">
        <v>344.5</v>
      </c>
      <c r="G84" s="598">
        <v>325</v>
      </c>
      <c r="H84" s="404"/>
      <c r="AP84" s="423" t="s">
        <v>90</v>
      </c>
      <c r="AQ84" s="417"/>
      <c r="AR84" s="417"/>
      <c r="AS84" s="417"/>
      <c r="AU84" s="408"/>
      <c r="AV84" s="413"/>
      <c r="AW84" s="408"/>
      <c r="AX84" s="803"/>
    </row>
    <row r="85" spans="5:51" ht="14.5" customHeight="1" x14ac:dyDescent="0.15">
      <c r="E85" s="912" t="s">
        <v>1225</v>
      </c>
      <c r="F85" s="899">
        <v>344.5</v>
      </c>
      <c r="G85" s="598">
        <v>325</v>
      </c>
      <c r="H85" s="404"/>
      <c r="AP85" s="414" t="s">
        <v>77</v>
      </c>
      <c r="AQ85" s="394">
        <v>0</v>
      </c>
      <c r="AR85" s="911"/>
      <c r="AS85" s="911"/>
      <c r="AU85" s="408" t="s">
        <v>473</v>
      </c>
      <c r="AV85" s="413"/>
      <c r="AW85" s="408" t="s">
        <v>493</v>
      </c>
      <c r="AX85" s="1066">
        <v>90.619399999999999</v>
      </c>
      <c r="AY85" s="600">
        <v>85.49</v>
      </c>
    </row>
    <row r="86" spans="5:51" ht="14.5" customHeight="1" x14ac:dyDescent="0.15">
      <c r="E86" s="912" t="s">
        <v>1226</v>
      </c>
      <c r="F86" s="899">
        <v>890.40000000000009</v>
      </c>
      <c r="G86" s="598">
        <v>840</v>
      </c>
      <c r="H86" s="404"/>
      <c r="AP86" s="414" t="s">
        <v>1445</v>
      </c>
      <c r="AQ86" s="394">
        <f>(POLLUSTOP!$G$39*0.126)+AR86</f>
        <v>2002.3400000000001</v>
      </c>
      <c r="AR86" s="923">
        <f>AS86*1.06</f>
        <v>2002.3400000000001</v>
      </c>
      <c r="AS86" s="595">
        <v>1889</v>
      </c>
      <c r="AU86" s="408" t="s">
        <v>474</v>
      </c>
      <c r="AV86" s="413"/>
      <c r="AW86" s="408" t="s">
        <v>437</v>
      </c>
      <c r="AX86" s="1066">
        <v>40.396599999999999</v>
      </c>
      <c r="AY86" s="600">
        <v>38.11</v>
      </c>
    </row>
    <row r="87" spans="5:51" ht="14.5" customHeight="1" x14ac:dyDescent="0.2">
      <c r="E87" s="912" t="s">
        <v>1227</v>
      </c>
      <c r="F87" s="899">
        <v>940.22</v>
      </c>
      <c r="G87" s="598">
        <v>887</v>
      </c>
      <c r="H87" s="404"/>
      <c r="AP87" s="18" t="s">
        <v>528</v>
      </c>
      <c r="AQ87" s="394">
        <f>AR87+(POLLUSTOP!$G$40*1.56)</f>
        <v>5382.72</v>
      </c>
      <c r="AR87" s="923">
        <f t="shared" ref="AR87:AR95" si="9">AS87*1.06</f>
        <v>2270.52</v>
      </c>
      <c r="AS87" s="595">
        <v>2142</v>
      </c>
      <c r="AU87" s="812" t="s">
        <v>1306</v>
      </c>
      <c r="AV87" s="406"/>
      <c r="AW87" s="408" t="s">
        <v>494</v>
      </c>
      <c r="AX87" s="917">
        <v>836.34</v>
      </c>
      <c r="AY87" s="600">
        <v>789</v>
      </c>
    </row>
    <row r="88" spans="5:51" ht="14.5" customHeight="1" x14ac:dyDescent="0.2">
      <c r="E88" s="912" t="s">
        <v>1232</v>
      </c>
      <c r="F88" s="899">
        <v>445.20000000000005</v>
      </c>
      <c r="G88" s="598">
        <v>420</v>
      </c>
      <c r="H88" s="404"/>
      <c r="AP88" s="18" t="s">
        <v>529</v>
      </c>
      <c r="AQ88" s="394">
        <f>AR88+(POLLUSTOP!$G$41*1.56)</f>
        <v>5982.4</v>
      </c>
      <c r="AR88" s="923">
        <f t="shared" si="9"/>
        <v>3158.8</v>
      </c>
      <c r="AS88" s="595">
        <v>2980</v>
      </c>
      <c r="AU88" s="408" t="s">
        <v>473</v>
      </c>
      <c r="AV88" s="413"/>
      <c r="AW88" s="408" t="s">
        <v>495</v>
      </c>
      <c r="AX88" s="1066">
        <v>146.30120000000002</v>
      </c>
      <c r="AY88" s="600">
        <v>138.02000000000001</v>
      </c>
    </row>
    <row r="89" spans="5:51" ht="14.5" customHeight="1" x14ac:dyDescent="0.2">
      <c r="E89" s="912" t="s">
        <v>1179</v>
      </c>
      <c r="F89" s="899">
        <v>1060</v>
      </c>
      <c r="G89" s="598">
        <v>1000</v>
      </c>
      <c r="H89" s="404"/>
      <c r="AP89" s="18" t="s">
        <v>530</v>
      </c>
      <c r="AQ89" s="394">
        <f>AR89+(POLLUSTOP!$G$41*1.56)</f>
        <v>6495.4400000000005</v>
      </c>
      <c r="AR89" s="923">
        <f t="shared" si="9"/>
        <v>3671.84</v>
      </c>
      <c r="AS89" s="595">
        <v>3464</v>
      </c>
      <c r="AU89" s="423" t="s">
        <v>55</v>
      </c>
      <c r="AV89" s="424"/>
      <c r="AW89" s="425" t="s">
        <v>437</v>
      </c>
      <c r="AX89" s="423"/>
      <c r="AY89" s="1065"/>
    </row>
    <row r="90" spans="5:51" ht="14.5" customHeight="1" x14ac:dyDescent="0.2">
      <c r="E90" s="912" t="s">
        <v>1125</v>
      </c>
      <c r="F90" s="899">
        <v>726.1</v>
      </c>
      <c r="G90" s="598">
        <v>685</v>
      </c>
      <c r="H90" s="404"/>
      <c r="AP90" s="18" t="s">
        <v>1446</v>
      </c>
      <c r="AQ90" s="394">
        <f>AR90+(POLLUSTOP!$G$42*1.56)</f>
        <v>4318.4400000000005</v>
      </c>
      <c r="AR90" s="923">
        <f t="shared" si="9"/>
        <v>4318.4400000000005</v>
      </c>
      <c r="AS90" s="595">
        <v>4074</v>
      </c>
      <c r="AU90" s="408" t="s">
        <v>21</v>
      </c>
      <c r="AV90" s="413"/>
      <c r="AW90" s="408" t="s">
        <v>496</v>
      </c>
      <c r="AX90" s="917">
        <v>422.53720000000004</v>
      </c>
      <c r="AY90" s="600">
        <v>398.62</v>
      </c>
    </row>
    <row r="91" spans="5:51" ht="14.5" customHeight="1" x14ac:dyDescent="0.2">
      <c r="E91" s="912" t="s">
        <v>1105</v>
      </c>
      <c r="F91" s="899">
        <v>386.90000000000003</v>
      </c>
      <c r="G91" s="598">
        <v>365</v>
      </c>
      <c r="H91" s="404"/>
      <c r="AP91" s="18" t="s">
        <v>1447</v>
      </c>
      <c r="AQ91" s="394">
        <f>AR91+(POLLUSTOP!$G$42*1.56)</f>
        <v>4642.8</v>
      </c>
      <c r="AR91" s="923">
        <f t="shared" si="9"/>
        <v>4642.8</v>
      </c>
      <c r="AS91" s="595">
        <v>4380</v>
      </c>
      <c r="AU91" s="408" t="s">
        <v>21</v>
      </c>
      <c r="AV91" s="413"/>
      <c r="AW91" s="408" t="s">
        <v>497</v>
      </c>
      <c r="AX91" s="917">
        <v>355.43920000000003</v>
      </c>
      <c r="AY91" s="600">
        <v>335.32</v>
      </c>
    </row>
    <row r="92" spans="5:51" ht="14.5" customHeight="1" x14ac:dyDescent="0.2">
      <c r="E92" s="912" t="s">
        <v>1228</v>
      </c>
      <c r="F92" s="899">
        <v>651.9</v>
      </c>
      <c r="G92" s="598">
        <v>615</v>
      </c>
      <c r="H92" s="404"/>
      <c r="AP92" s="18" t="s">
        <v>1448</v>
      </c>
      <c r="AQ92" s="394">
        <f>AR92+(POLLUSTOP!$G$43*1.56)</f>
        <v>5793.96</v>
      </c>
      <c r="AR92" s="923">
        <f t="shared" si="9"/>
        <v>5793.96</v>
      </c>
      <c r="AS92" s="595">
        <v>5466</v>
      </c>
      <c r="AU92" s="408" t="s">
        <v>21</v>
      </c>
      <c r="AV92" s="413"/>
      <c r="AW92" s="408" t="s">
        <v>498</v>
      </c>
      <c r="AX92" s="917">
        <v>344.43639999999999</v>
      </c>
      <c r="AY92" s="600">
        <v>324.94</v>
      </c>
    </row>
    <row r="93" spans="5:51" ht="14.5" customHeight="1" x14ac:dyDescent="0.2">
      <c r="E93" s="912" t="s">
        <v>1229</v>
      </c>
      <c r="F93" s="899">
        <v>1203.1000000000001</v>
      </c>
      <c r="G93" s="598">
        <v>1135</v>
      </c>
      <c r="H93" s="404"/>
      <c r="AP93" s="18" t="s">
        <v>620</v>
      </c>
      <c r="AQ93" s="394">
        <f>AR93+(POLLUSTOP!$G$43*2.06)</f>
        <v>6618.64</v>
      </c>
      <c r="AR93" s="923">
        <f t="shared" si="9"/>
        <v>6618.64</v>
      </c>
      <c r="AS93" s="595">
        <v>6244</v>
      </c>
      <c r="AU93" s="408" t="s">
        <v>21</v>
      </c>
      <c r="AV93" s="413"/>
      <c r="AW93" s="408" t="s">
        <v>499</v>
      </c>
      <c r="AX93" s="917">
        <v>301.8562</v>
      </c>
      <c r="AY93" s="600">
        <v>284.77</v>
      </c>
    </row>
    <row r="94" spans="5:51" ht="14.5" customHeight="1" x14ac:dyDescent="0.2">
      <c r="E94" s="912" t="s">
        <v>1230</v>
      </c>
      <c r="F94" s="899">
        <v>651.9</v>
      </c>
      <c r="G94" s="598">
        <v>615</v>
      </c>
      <c r="H94" s="404"/>
      <c r="AP94" s="18" t="s">
        <v>621</v>
      </c>
      <c r="AQ94" s="394">
        <f>AR94+(POLLUSTOP!$G$43*2.06)</f>
        <v>7050.06</v>
      </c>
      <c r="AR94" s="923">
        <f t="shared" si="9"/>
        <v>7050.06</v>
      </c>
      <c r="AS94" s="595">
        <v>6651</v>
      </c>
      <c r="AU94" s="408" t="s">
        <v>20</v>
      </c>
      <c r="AV94" s="413"/>
      <c r="AW94" s="408" t="s">
        <v>500</v>
      </c>
      <c r="AX94" s="917">
        <v>70.3416</v>
      </c>
      <c r="AY94" s="600">
        <v>66.36</v>
      </c>
    </row>
    <row r="95" spans="5:51" ht="14.5" customHeight="1" x14ac:dyDescent="0.2">
      <c r="E95" s="912" t="s">
        <v>1231</v>
      </c>
      <c r="F95" s="899">
        <v>344.5</v>
      </c>
      <c r="G95" s="598">
        <v>325</v>
      </c>
      <c r="H95" s="404"/>
      <c r="AP95" s="18" t="s">
        <v>622</v>
      </c>
      <c r="AQ95" s="394">
        <f>AR95+(POLLUSTOP!$G$44*2.06)</f>
        <v>7211.18</v>
      </c>
      <c r="AR95" s="923">
        <f t="shared" si="9"/>
        <v>7211.18</v>
      </c>
      <c r="AS95" s="595">
        <v>6803</v>
      </c>
      <c r="AU95" s="408" t="s">
        <v>20</v>
      </c>
      <c r="AV95" s="413"/>
      <c r="AW95" s="408" t="s">
        <v>501</v>
      </c>
      <c r="AX95" s="917">
        <v>76.436599999999999</v>
      </c>
      <c r="AY95" s="600">
        <v>72.11</v>
      </c>
    </row>
    <row r="96" spans="5:51" ht="14.5" customHeight="1" x14ac:dyDescent="0.15">
      <c r="E96" s="912" t="s">
        <v>1234</v>
      </c>
      <c r="F96" s="899">
        <v>344.5</v>
      </c>
      <c r="G96" s="598">
        <v>325</v>
      </c>
      <c r="H96" s="404"/>
      <c r="AP96" s="405"/>
      <c r="AU96" s="393" t="s">
        <v>20</v>
      </c>
      <c r="AV96" s="406"/>
      <c r="AW96" s="408" t="s">
        <v>502</v>
      </c>
      <c r="AX96" s="917">
        <v>72.525200000000012</v>
      </c>
      <c r="AY96" s="600">
        <v>68.42</v>
      </c>
    </row>
    <row r="97" spans="5:51" ht="14.5" customHeight="1" x14ac:dyDescent="0.15">
      <c r="E97" s="912" t="s">
        <v>1235</v>
      </c>
      <c r="F97" s="899">
        <v>906.30000000000007</v>
      </c>
      <c r="G97" s="598">
        <v>855</v>
      </c>
      <c r="H97" s="404"/>
      <c r="AP97" s="423" t="s">
        <v>93</v>
      </c>
      <c r="AQ97" s="417"/>
      <c r="AR97" s="417"/>
      <c r="AS97" s="417"/>
      <c r="AU97" s="393" t="s">
        <v>20</v>
      </c>
      <c r="AV97" s="406"/>
      <c r="AW97" s="408" t="s">
        <v>503</v>
      </c>
      <c r="AX97" s="917">
        <v>109.74180000000001</v>
      </c>
      <c r="AY97" s="600">
        <v>103.53</v>
      </c>
    </row>
    <row r="98" spans="5:51" ht="14.5" customHeight="1" x14ac:dyDescent="0.15">
      <c r="E98" s="912" t="s">
        <v>1164</v>
      </c>
      <c r="F98" s="899">
        <v>895.7</v>
      </c>
      <c r="G98" s="598">
        <v>845</v>
      </c>
      <c r="H98" s="404"/>
      <c r="AP98" s="414" t="s">
        <v>77</v>
      </c>
      <c r="AQ98" s="394">
        <v>0</v>
      </c>
      <c r="AR98" s="901"/>
      <c r="AS98" s="901"/>
      <c r="AU98" s="408" t="s">
        <v>56</v>
      </c>
      <c r="AV98" s="413"/>
      <c r="AW98" s="408" t="s">
        <v>502</v>
      </c>
      <c r="AX98" s="917">
        <v>80.263199999999998</v>
      </c>
      <c r="AY98" s="600">
        <v>75.72</v>
      </c>
    </row>
    <row r="99" spans="5:51" ht="14.5" customHeight="1" x14ac:dyDescent="0.15">
      <c r="E99" s="912" t="s">
        <v>1236</v>
      </c>
      <c r="F99" s="899">
        <v>396.44</v>
      </c>
      <c r="G99" s="598">
        <v>374</v>
      </c>
      <c r="H99" s="404"/>
      <c r="AP99" s="414" t="s">
        <v>94</v>
      </c>
      <c r="AQ99" s="394">
        <f>(POLLUSTOP!$G$39*0.6)+AR99</f>
        <v>518.34</v>
      </c>
      <c r="AR99" s="923">
        <v>518.34</v>
      </c>
      <c r="AS99" s="595">
        <v>489</v>
      </c>
      <c r="AU99" s="408" t="s">
        <v>56</v>
      </c>
      <c r="AV99" s="413"/>
      <c r="AW99" s="408" t="s">
        <v>503</v>
      </c>
      <c r="AX99" s="917">
        <v>105.88340000000001</v>
      </c>
      <c r="AY99" s="600">
        <v>99.89</v>
      </c>
    </row>
    <row r="100" spans="5:51" ht="14.5" customHeight="1" x14ac:dyDescent="0.15">
      <c r="E100" s="912" t="s">
        <v>1170</v>
      </c>
      <c r="F100" s="899">
        <v>2072.3000000000002</v>
      </c>
      <c r="G100" s="598">
        <v>1955</v>
      </c>
      <c r="H100" s="404"/>
      <c r="AP100" s="414" t="s">
        <v>95</v>
      </c>
      <c r="AQ100" s="394">
        <f>AR100+(POLLUSTOP!$G$40*0.6)</f>
        <v>1805.44</v>
      </c>
      <c r="AR100" s="923">
        <v>608.44000000000005</v>
      </c>
      <c r="AS100" s="595">
        <v>574</v>
      </c>
      <c r="AU100" s="408" t="s">
        <v>67</v>
      </c>
      <c r="AV100" s="413"/>
      <c r="AW100" s="408" t="s">
        <v>504</v>
      </c>
      <c r="AX100" s="917">
        <v>137.5668</v>
      </c>
      <c r="AY100" s="600">
        <v>129.78</v>
      </c>
    </row>
    <row r="101" spans="5:51" ht="14.5" customHeight="1" x14ac:dyDescent="0.15">
      <c r="E101" s="912" t="s">
        <v>1156</v>
      </c>
      <c r="F101" s="899">
        <v>408.1</v>
      </c>
      <c r="G101" s="598">
        <v>385</v>
      </c>
      <c r="H101" s="404"/>
      <c r="AP101" s="414" t="s">
        <v>96</v>
      </c>
      <c r="AQ101" s="394">
        <f>AR101+(POLLUSTOP!$G$41*0.6)</f>
        <v>1734.72</v>
      </c>
      <c r="AR101" s="923">
        <v>648.72</v>
      </c>
      <c r="AS101" s="595">
        <v>612</v>
      </c>
      <c r="AU101" s="408" t="s">
        <v>56</v>
      </c>
      <c r="AV101" s="413"/>
      <c r="AW101" s="408" t="s">
        <v>505</v>
      </c>
      <c r="AX101" s="917">
        <v>157.2192</v>
      </c>
      <c r="AY101" s="600">
        <v>148.32</v>
      </c>
    </row>
    <row r="102" spans="5:51" ht="14.5" customHeight="1" x14ac:dyDescent="0.15">
      <c r="E102" s="403" t="s">
        <v>363</v>
      </c>
      <c r="F102" s="899" t="s">
        <v>1439</v>
      </c>
      <c r="G102" s="598" t="s">
        <v>1237</v>
      </c>
      <c r="H102" s="404"/>
      <c r="AP102" s="414" t="s">
        <v>97</v>
      </c>
      <c r="AQ102" s="394">
        <f>AR102+(POLLUSTOP!$G$41*0.6)</f>
        <v>1765.46</v>
      </c>
      <c r="AR102" s="923">
        <v>679.46</v>
      </c>
      <c r="AS102" s="595">
        <v>641</v>
      </c>
      <c r="AU102" s="423" t="s">
        <v>57</v>
      </c>
      <c r="AV102" s="424"/>
      <c r="AW102" s="416" t="s">
        <v>437</v>
      </c>
      <c r="AX102" s="423"/>
      <c r="AY102" s="1065"/>
    </row>
    <row r="103" spans="5:51" ht="14.5" customHeight="1" x14ac:dyDescent="0.15">
      <c r="E103" s="912" t="s">
        <v>1238</v>
      </c>
      <c r="F103" s="899">
        <v>1203.1000000000001</v>
      </c>
      <c r="G103" s="598">
        <v>1135</v>
      </c>
      <c r="H103" s="404"/>
      <c r="AP103" s="414" t="s">
        <v>98</v>
      </c>
      <c r="AQ103" s="394">
        <f>AR103+(POLLUSTOP!$G$42*0.6)</f>
        <v>739.88</v>
      </c>
      <c r="AR103" s="923">
        <v>739.88</v>
      </c>
      <c r="AS103" s="595">
        <v>698</v>
      </c>
      <c r="AU103" s="408" t="s">
        <v>19</v>
      </c>
      <c r="AV103" s="413"/>
      <c r="AW103" s="408" t="s">
        <v>506</v>
      </c>
      <c r="AX103" s="917">
        <v>307.01839999999999</v>
      </c>
      <c r="AY103" s="600">
        <v>289.64</v>
      </c>
    </row>
    <row r="104" spans="5:51" ht="14.5" customHeight="1" x14ac:dyDescent="0.15">
      <c r="E104" s="912" t="s">
        <v>1142</v>
      </c>
      <c r="F104" s="899">
        <v>434.6</v>
      </c>
      <c r="G104" s="598">
        <v>410</v>
      </c>
      <c r="H104" s="404"/>
      <c r="AP104" s="414" t="s">
        <v>99</v>
      </c>
      <c r="AQ104" s="394">
        <f>AR104+(POLLUSTOP!$G$42*0.6)</f>
        <v>791.82</v>
      </c>
      <c r="AR104" s="923">
        <v>791.82</v>
      </c>
      <c r="AS104" s="595">
        <v>747</v>
      </c>
      <c r="AU104" s="408" t="s">
        <v>19</v>
      </c>
      <c r="AV104" s="413"/>
      <c r="AW104" s="408" t="s">
        <v>507</v>
      </c>
      <c r="AX104" s="917">
        <v>264.07780000000002</v>
      </c>
      <c r="AY104" s="600">
        <v>249.13</v>
      </c>
    </row>
    <row r="105" spans="5:51" ht="14.5" customHeight="1" x14ac:dyDescent="0.15">
      <c r="E105" s="912" t="s">
        <v>1239</v>
      </c>
      <c r="F105" s="899">
        <v>622.22</v>
      </c>
      <c r="G105" s="598">
        <v>587</v>
      </c>
      <c r="H105" s="404"/>
      <c r="AP105" s="414" t="s">
        <v>100</v>
      </c>
      <c r="AQ105" s="394">
        <f>AR105+(POLLUSTOP!$G$43*0.6)</f>
        <v>854.36</v>
      </c>
      <c r="AR105" s="923">
        <v>854.36</v>
      </c>
      <c r="AS105" s="595">
        <v>806</v>
      </c>
      <c r="AU105" s="408" t="s">
        <v>19</v>
      </c>
      <c r="AV105" s="413"/>
      <c r="AW105" s="408" t="s">
        <v>508</v>
      </c>
      <c r="AX105" s="917">
        <v>147.50960000000001</v>
      </c>
      <c r="AY105" s="600">
        <v>139.16</v>
      </c>
    </row>
    <row r="106" spans="5:51" ht="14.5" customHeight="1" x14ac:dyDescent="0.15">
      <c r="E106" s="912" t="s">
        <v>1240</v>
      </c>
      <c r="F106" s="899">
        <v>1203.1000000000001</v>
      </c>
      <c r="G106" s="598">
        <v>1135</v>
      </c>
      <c r="H106" s="404"/>
      <c r="AP106" s="414" t="s">
        <v>101</v>
      </c>
      <c r="AQ106" s="394">
        <f>AR106+(POLLUSTOP!$G$43*0.6)</f>
        <v>899.94</v>
      </c>
      <c r="AR106" s="923">
        <v>899.94</v>
      </c>
      <c r="AS106" s="595">
        <v>849</v>
      </c>
      <c r="AU106" s="408" t="s">
        <v>18</v>
      </c>
      <c r="AV106" s="413"/>
      <c r="AW106" s="408" t="s">
        <v>509</v>
      </c>
      <c r="AX106" s="917">
        <v>327.39160000000004</v>
      </c>
      <c r="AY106" s="600">
        <v>308.86</v>
      </c>
    </row>
    <row r="107" spans="5:51" ht="14.5" customHeight="1" x14ac:dyDescent="0.15">
      <c r="E107" s="912" t="s">
        <v>1241</v>
      </c>
      <c r="F107" s="899">
        <v>578.76</v>
      </c>
      <c r="G107" s="598">
        <v>546</v>
      </c>
      <c r="H107" s="404"/>
      <c r="AP107" s="414" t="s">
        <v>103</v>
      </c>
      <c r="AQ107" s="394">
        <f>AR107+(POLLUSTOP!$G$43*0.6)</f>
        <v>1045.1600000000001</v>
      </c>
      <c r="AR107" s="923">
        <v>1045.1600000000001</v>
      </c>
      <c r="AS107" s="595">
        <v>986</v>
      </c>
      <c r="AU107" s="408" t="s">
        <v>17</v>
      </c>
      <c r="AV107" s="413"/>
      <c r="AW107" s="408" t="s">
        <v>510</v>
      </c>
      <c r="AX107" s="917">
        <v>77.42240000000001</v>
      </c>
      <c r="AY107" s="600">
        <v>73.040000000000006</v>
      </c>
    </row>
    <row r="108" spans="5:51" ht="14.5" customHeight="1" x14ac:dyDescent="0.15">
      <c r="E108" s="912" t="s">
        <v>1242</v>
      </c>
      <c r="F108" s="899">
        <v>344.5</v>
      </c>
      <c r="G108" s="598">
        <v>325</v>
      </c>
      <c r="H108" s="404"/>
      <c r="AP108" s="414" t="s">
        <v>102</v>
      </c>
      <c r="AQ108" s="394">
        <f>AR108+(POLLUSTOP!$G$44*0.6)</f>
        <v>1182.96</v>
      </c>
      <c r="AR108" s="923">
        <v>1182.96</v>
      </c>
      <c r="AS108" s="595">
        <v>1116</v>
      </c>
      <c r="AU108" s="408" t="s">
        <v>17</v>
      </c>
      <c r="AV108" s="413"/>
      <c r="AW108" s="408" t="s">
        <v>511</v>
      </c>
      <c r="AX108" s="917">
        <v>80.984000000000009</v>
      </c>
      <c r="AY108" s="600">
        <v>76.400000000000006</v>
      </c>
    </row>
    <row r="109" spans="5:51" ht="14.5" customHeight="1" x14ac:dyDescent="0.15">
      <c r="E109" s="912" t="s">
        <v>1130</v>
      </c>
      <c r="F109" s="899">
        <v>943.40000000000009</v>
      </c>
      <c r="G109" s="598">
        <v>890</v>
      </c>
      <c r="H109" s="404"/>
      <c r="AP109" s="405"/>
      <c r="AU109" s="408" t="s">
        <v>17</v>
      </c>
      <c r="AV109" s="413"/>
      <c r="AW109" s="408" t="s">
        <v>512</v>
      </c>
      <c r="AX109" s="917">
        <v>93.650999999999996</v>
      </c>
      <c r="AY109" s="600">
        <v>88.35</v>
      </c>
    </row>
    <row r="110" spans="5:51" ht="14.5" customHeight="1" x14ac:dyDescent="0.15">
      <c r="E110" s="912" t="s">
        <v>1243</v>
      </c>
      <c r="F110" s="899">
        <v>906.30000000000007</v>
      </c>
      <c r="G110" s="598">
        <v>855</v>
      </c>
      <c r="H110" s="404"/>
      <c r="AP110" s="423" t="s">
        <v>1099</v>
      </c>
      <c r="AQ110" s="417"/>
      <c r="AR110" s="417"/>
      <c r="AS110" s="417"/>
      <c r="AU110" s="408" t="s">
        <v>15</v>
      </c>
      <c r="AV110" s="413"/>
      <c r="AW110" s="408" t="s">
        <v>513</v>
      </c>
      <c r="AX110" s="917">
        <v>16.376999999999999</v>
      </c>
      <c r="AY110" s="600">
        <v>15.45</v>
      </c>
    </row>
    <row r="111" spans="5:51" ht="14.5" customHeight="1" x14ac:dyDescent="0.15">
      <c r="E111" s="912" t="s">
        <v>1244</v>
      </c>
      <c r="F111" s="899">
        <v>540.6</v>
      </c>
      <c r="G111" s="598">
        <v>510</v>
      </c>
      <c r="H111" s="404"/>
      <c r="AP111" s="414" t="s">
        <v>77</v>
      </c>
      <c r="AQ111" s="394">
        <v>0</v>
      </c>
      <c r="AR111" s="901"/>
      <c r="AS111" s="901"/>
      <c r="AU111" s="408" t="s">
        <v>58</v>
      </c>
      <c r="AV111" s="921"/>
      <c r="AW111" s="921" t="s">
        <v>1305</v>
      </c>
      <c r="AX111" s="917">
        <v>93.28</v>
      </c>
      <c r="AY111" s="600">
        <v>88</v>
      </c>
    </row>
    <row r="112" spans="5:51" ht="14.5" customHeight="1" x14ac:dyDescent="0.15">
      <c r="E112" s="912" t="s">
        <v>1165</v>
      </c>
      <c r="F112" s="899">
        <v>885.1</v>
      </c>
      <c r="G112" s="598">
        <v>835</v>
      </c>
      <c r="H112" s="404"/>
      <c r="AP112" s="414" t="s">
        <v>610</v>
      </c>
      <c r="AQ112" s="394">
        <f>(POLLUSTOP!$G$39*0.6)+AR112</f>
        <v>2133.5150000000003</v>
      </c>
      <c r="AR112" s="923">
        <v>2133.5150000000003</v>
      </c>
      <c r="AS112" s="595">
        <v>2012.75</v>
      </c>
      <c r="AU112" s="393" t="s">
        <v>437</v>
      </c>
      <c r="AW112" s="393" t="s">
        <v>437</v>
      </c>
      <c r="AX112" s="803">
        <v>0</v>
      </c>
      <c r="AY112" s="600">
        <v>0</v>
      </c>
    </row>
    <row r="113" spans="5:51" ht="14.5" customHeight="1" x14ac:dyDescent="0.15">
      <c r="E113" s="912" t="s">
        <v>1131</v>
      </c>
      <c r="F113" s="899">
        <v>636</v>
      </c>
      <c r="G113" s="598">
        <v>600</v>
      </c>
      <c r="H113" s="404"/>
      <c r="AP113" s="414" t="s">
        <v>611</v>
      </c>
      <c r="AQ113" s="394">
        <f>AR113+(POLLUSTOP!$G$40*0.6)</f>
        <v>4249.5774000000001</v>
      </c>
      <c r="AR113" s="923">
        <v>3052.5774000000001</v>
      </c>
      <c r="AS113" s="595">
        <v>2879.79</v>
      </c>
      <c r="AU113" s="393" t="s">
        <v>43</v>
      </c>
      <c r="AW113" s="393" t="s">
        <v>437</v>
      </c>
      <c r="AX113" s="917">
        <v>116.60000000000001</v>
      </c>
      <c r="AY113" s="600">
        <v>110</v>
      </c>
    </row>
    <row r="114" spans="5:51" ht="14.5" customHeight="1" x14ac:dyDescent="0.15">
      <c r="E114" s="403"/>
      <c r="F114" s="899"/>
      <c r="G114" s="598"/>
      <c r="H114" s="404"/>
      <c r="AP114" s="414" t="s">
        <v>630</v>
      </c>
      <c r="AQ114" s="394">
        <f>AR114+(POLLUSTOP!$G$41*0.6)</f>
        <v>5277.9502000000002</v>
      </c>
      <c r="AR114" s="923">
        <v>4191.9502000000002</v>
      </c>
      <c r="AS114" s="595">
        <v>3954.67</v>
      </c>
      <c r="AU114" s="393" t="s">
        <v>243</v>
      </c>
      <c r="AW114" s="393" t="s">
        <v>45</v>
      </c>
      <c r="AX114" s="803">
        <v>0</v>
      </c>
      <c r="AY114" s="600">
        <v>0</v>
      </c>
    </row>
    <row r="115" spans="5:51" ht="14.5" customHeight="1" x14ac:dyDescent="0.15">
      <c r="E115" s="912" t="s">
        <v>1245</v>
      </c>
      <c r="F115" s="899">
        <v>344.5</v>
      </c>
      <c r="G115" s="598">
        <v>325</v>
      </c>
      <c r="H115" s="404"/>
      <c r="AP115" s="414" t="s">
        <v>631</v>
      </c>
      <c r="AQ115" s="394">
        <f>AR115+(POLLUSTOP!$G$41*0.6)</f>
        <v>5886.2417999999998</v>
      </c>
      <c r="AR115" s="923">
        <v>4800.2417999999998</v>
      </c>
      <c r="AS115" s="595">
        <v>4528.53</v>
      </c>
      <c r="AU115" s="393" t="s">
        <v>11</v>
      </c>
      <c r="AW115" s="393" t="s">
        <v>50</v>
      </c>
      <c r="AX115" s="917">
        <v>583</v>
      </c>
      <c r="AY115" s="600">
        <v>550</v>
      </c>
    </row>
    <row r="116" spans="5:51" ht="14.5" customHeight="1" x14ac:dyDescent="0.15">
      <c r="E116" s="912" t="s">
        <v>1246</v>
      </c>
      <c r="F116" s="899">
        <v>344.5</v>
      </c>
      <c r="G116" s="598">
        <v>325</v>
      </c>
      <c r="H116" s="404"/>
      <c r="AP116" s="414" t="s">
        <v>632</v>
      </c>
      <c r="AQ116" s="394">
        <f>AR116+(POLLUSTOP!$G$42*0.6)</f>
        <v>5895.3808000000008</v>
      </c>
      <c r="AR116" s="923">
        <v>5895.3808000000008</v>
      </c>
      <c r="AS116" s="595">
        <v>5561.68</v>
      </c>
      <c r="AU116" s="393" t="s">
        <v>11</v>
      </c>
      <c r="AW116" s="393" t="s">
        <v>59</v>
      </c>
      <c r="AX116" s="917">
        <v>583</v>
      </c>
      <c r="AY116" s="600">
        <v>550</v>
      </c>
    </row>
    <row r="117" spans="5:51" ht="14.5" customHeight="1" x14ac:dyDescent="0.15">
      <c r="E117" s="912" t="s">
        <v>1138</v>
      </c>
      <c r="F117" s="899">
        <v>651.9</v>
      </c>
      <c r="G117" s="598">
        <v>615</v>
      </c>
      <c r="H117" s="404"/>
      <c r="AP117" s="414" t="s">
        <v>633</v>
      </c>
      <c r="AQ117" s="394">
        <f>AR117+(POLLUSTOP!$G$42*0.6)</f>
        <v>6484.030600000001</v>
      </c>
      <c r="AR117" s="923">
        <v>6484.030600000001</v>
      </c>
      <c r="AS117" s="595">
        <v>6117.01</v>
      </c>
      <c r="AU117" s="393" t="s">
        <v>12</v>
      </c>
      <c r="AW117" s="393" t="s">
        <v>437</v>
      </c>
      <c r="AX117" s="917">
        <v>0</v>
      </c>
      <c r="AY117" s="600">
        <v>0</v>
      </c>
    </row>
    <row r="118" spans="5:51" ht="14.5" customHeight="1" x14ac:dyDescent="0.15">
      <c r="E118" s="403"/>
      <c r="F118" s="899"/>
      <c r="G118" s="598">
        <v>383.16</v>
      </c>
      <c r="H118" s="404"/>
      <c r="AP118" s="414" t="s">
        <v>634</v>
      </c>
      <c r="AQ118" s="394">
        <f>AR118+(POLLUSTOP!$G$43*0.6)</f>
        <v>8054.7386000000006</v>
      </c>
      <c r="AR118" s="923">
        <v>8054.7386000000006</v>
      </c>
      <c r="AS118" s="595">
        <v>7598.81</v>
      </c>
      <c r="AU118" s="393" t="s">
        <v>13</v>
      </c>
      <c r="AW118" s="393" t="s">
        <v>437</v>
      </c>
      <c r="AX118" s="917">
        <v>0</v>
      </c>
      <c r="AY118" s="600">
        <v>0</v>
      </c>
    </row>
    <row r="119" spans="5:51" ht="14.5" customHeight="1" x14ac:dyDescent="0.15">
      <c r="E119" s="912" t="s">
        <v>1137</v>
      </c>
      <c r="F119" s="899">
        <v>895.7</v>
      </c>
      <c r="G119" s="598">
        <v>845</v>
      </c>
      <c r="H119" s="404"/>
      <c r="AP119" s="414" t="s">
        <v>635</v>
      </c>
      <c r="AQ119" s="394">
        <f>AR119+(POLLUSTOP!$G$43*0.6)</f>
        <v>8897.0570000000007</v>
      </c>
      <c r="AR119" s="923">
        <v>8897.0570000000007</v>
      </c>
      <c r="AS119" s="595">
        <v>8393.4500000000007</v>
      </c>
      <c r="AU119" s="393" t="s">
        <v>244</v>
      </c>
      <c r="AW119" s="393" t="s">
        <v>115</v>
      </c>
      <c r="AX119" s="917">
        <v>640.24</v>
      </c>
      <c r="AY119" s="600">
        <v>604</v>
      </c>
    </row>
    <row r="120" spans="5:51" ht="14.5" customHeight="1" x14ac:dyDescent="0.15">
      <c r="E120" s="912" t="s">
        <v>1247</v>
      </c>
      <c r="F120" s="899">
        <v>1203.1000000000001</v>
      </c>
      <c r="G120" s="598">
        <v>1135</v>
      </c>
      <c r="H120" s="404"/>
      <c r="AP120" s="414" t="s">
        <v>636</v>
      </c>
      <c r="AQ120" s="394">
        <f>AR120+(POLLUSTOP!$G$43*0.6)</f>
        <v>10627.0088</v>
      </c>
      <c r="AR120" s="923">
        <v>10627.0088</v>
      </c>
      <c r="AS120" s="595">
        <v>10025.48</v>
      </c>
    </row>
    <row r="121" spans="5:51" ht="14.5" customHeight="1" x14ac:dyDescent="0.15">
      <c r="E121" s="913" t="s">
        <v>1248</v>
      </c>
      <c r="F121" s="899">
        <v>349.8</v>
      </c>
      <c r="G121" s="598">
        <v>330</v>
      </c>
      <c r="H121" s="404"/>
      <c r="AP121" s="414" t="s">
        <v>637</v>
      </c>
      <c r="AQ121" s="394">
        <f>AR121+(POLLUSTOP!$G$44*0.6)</f>
        <v>11815.417200000002</v>
      </c>
      <c r="AR121" s="923">
        <v>11815.417200000002</v>
      </c>
      <c r="AS121" s="595">
        <v>11146.62</v>
      </c>
    </row>
    <row r="122" spans="5:51" ht="14.5" customHeight="1" x14ac:dyDescent="0.15">
      <c r="E122" s="912" t="s">
        <v>1107</v>
      </c>
      <c r="F122" s="899">
        <v>386.90000000000003</v>
      </c>
      <c r="G122" s="598">
        <v>365</v>
      </c>
      <c r="H122" s="404"/>
    </row>
    <row r="123" spans="5:51" ht="14.5" customHeight="1" x14ac:dyDescent="0.15">
      <c r="E123" s="912" t="s">
        <v>1249</v>
      </c>
      <c r="F123" s="899">
        <v>651.9</v>
      </c>
      <c r="G123" s="598">
        <v>615</v>
      </c>
      <c r="H123" s="404"/>
      <c r="AP123" s="409"/>
    </row>
    <row r="124" spans="5:51" ht="14.5" customHeight="1" x14ac:dyDescent="0.15">
      <c r="E124" s="912" t="s">
        <v>1250</v>
      </c>
      <c r="F124" s="899">
        <v>906.30000000000007</v>
      </c>
      <c r="G124" s="598">
        <v>855</v>
      </c>
      <c r="H124" s="404"/>
    </row>
    <row r="125" spans="5:51" ht="14.5" customHeight="1" x14ac:dyDescent="0.15">
      <c r="E125" s="912" t="s">
        <v>1111</v>
      </c>
      <c r="F125" s="899">
        <v>906.30000000000007</v>
      </c>
      <c r="G125" s="598">
        <v>855</v>
      </c>
      <c r="H125" s="404"/>
    </row>
    <row r="126" spans="5:51" ht="14.5" customHeight="1" x14ac:dyDescent="0.15">
      <c r="E126" s="912" t="s">
        <v>1251</v>
      </c>
      <c r="F126" s="899">
        <v>344.5</v>
      </c>
      <c r="G126" s="598">
        <v>325</v>
      </c>
      <c r="H126" s="404"/>
    </row>
    <row r="127" spans="5:51" ht="14.5" customHeight="1" x14ac:dyDescent="0.15">
      <c r="E127" s="912" t="s">
        <v>1112</v>
      </c>
      <c r="F127" s="899">
        <v>948.7</v>
      </c>
      <c r="G127" s="598">
        <v>895</v>
      </c>
      <c r="H127" s="404"/>
    </row>
    <row r="128" spans="5:51" ht="14.5" customHeight="1" x14ac:dyDescent="0.15">
      <c r="E128" s="912" t="s">
        <v>1252</v>
      </c>
      <c r="F128" s="899">
        <v>940.22</v>
      </c>
      <c r="G128" s="598">
        <v>887</v>
      </c>
      <c r="H128" s="404"/>
    </row>
    <row r="129" spans="5:42" ht="14.5" customHeight="1" x14ac:dyDescent="0.15">
      <c r="E129" s="912" t="s">
        <v>1106</v>
      </c>
      <c r="F129" s="899">
        <v>413.40000000000003</v>
      </c>
      <c r="G129" s="598">
        <v>390</v>
      </c>
      <c r="H129" s="404"/>
    </row>
    <row r="130" spans="5:42" ht="14.5" customHeight="1" x14ac:dyDescent="0.15">
      <c r="E130" s="912" t="s">
        <v>1180</v>
      </c>
      <c r="F130" s="899">
        <v>1049.4000000000001</v>
      </c>
      <c r="G130" s="598">
        <v>990</v>
      </c>
      <c r="H130" s="404"/>
    </row>
    <row r="131" spans="5:42" ht="14.5" customHeight="1" x14ac:dyDescent="0.15">
      <c r="E131" s="912" t="s">
        <v>1253</v>
      </c>
      <c r="F131" s="899">
        <v>906.30000000000007</v>
      </c>
      <c r="G131" s="598">
        <v>855</v>
      </c>
      <c r="H131" s="404"/>
    </row>
    <row r="132" spans="5:42" ht="14.5" customHeight="1" x14ac:dyDescent="0.15">
      <c r="E132" s="912" t="s">
        <v>1254</v>
      </c>
      <c r="F132" s="899">
        <v>396.44</v>
      </c>
      <c r="G132" s="598">
        <v>374</v>
      </c>
      <c r="H132" s="404"/>
    </row>
    <row r="133" spans="5:42" ht="14.5" customHeight="1" x14ac:dyDescent="0.15">
      <c r="E133" s="912" t="s">
        <v>1255</v>
      </c>
      <c r="F133" s="899">
        <v>1028.2</v>
      </c>
      <c r="G133" s="598">
        <v>970</v>
      </c>
      <c r="H133" s="404"/>
    </row>
    <row r="134" spans="5:42" ht="14.5" customHeight="1" x14ac:dyDescent="0.15">
      <c r="E134" s="912" t="s">
        <v>1256</v>
      </c>
      <c r="F134" s="899">
        <v>622.22</v>
      </c>
      <c r="G134" s="598">
        <v>587</v>
      </c>
      <c r="H134" s="404"/>
    </row>
    <row r="135" spans="5:42" ht="14.5" customHeight="1" x14ac:dyDescent="0.15">
      <c r="E135" s="912" t="s">
        <v>1257</v>
      </c>
      <c r="F135" s="899">
        <v>940.22</v>
      </c>
      <c r="G135" s="598">
        <v>887</v>
      </c>
      <c r="H135" s="404"/>
    </row>
    <row r="136" spans="5:42" ht="14.5" customHeight="1" x14ac:dyDescent="0.15">
      <c r="E136" s="403"/>
      <c r="F136" s="899"/>
      <c r="G136" s="598"/>
      <c r="H136" s="404"/>
      <c r="AP136" s="409"/>
    </row>
    <row r="137" spans="5:42" ht="14.5" customHeight="1" x14ac:dyDescent="0.15">
      <c r="E137" s="912" t="s">
        <v>1141</v>
      </c>
      <c r="F137" s="899">
        <v>424</v>
      </c>
      <c r="G137" s="598">
        <v>400</v>
      </c>
      <c r="H137" s="404"/>
    </row>
    <row r="138" spans="5:42" ht="14.5" customHeight="1" x14ac:dyDescent="0.15">
      <c r="E138" s="912" t="s">
        <v>1258</v>
      </c>
      <c r="F138" s="899">
        <v>1203.1000000000001</v>
      </c>
      <c r="G138" s="598">
        <v>1135</v>
      </c>
      <c r="H138" s="404"/>
    </row>
    <row r="139" spans="5:42" ht="14.5" customHeight="1" x14ac:dyDescent="0.15">
      <c r="E139" s="912" t="s">
        <v>1140</v>
      </c>
      <c r="F139" s="899">
        <v>551.20000000000005</v>
      </c>
      <c r="G139" s="598">
        <v>520</v>
      </c>
      <c r="H139" s="404"/>
    </row>
    <row r="140" spans="5:42" ht="14.5" customHeight="1" x14ac:dyDescent="0.15">
      <c r="E140" s="912" t="s">
        <v>1143</v>
      </c>
      <c r="F140" s="899">
        <v>651.9</v>
      </c>
      <c r="G140" s="598">
        <v>615</v>
      </c>
      <c r="H140" s="404"/>
    </row>
    <row r="141" spans="5:42" ht="14.5" customHeight="1" x14ac:dyDescent="0.15">
      <c r="E141" s="912" t="s">
        <v>1259</v>
      </c>
      <c r="F141" s="899">
        <v>906.30000000000007</v>
      </c>
      <c r="G141" s="598">
        <v>855</v>
      </c>
      <c r="H141" s="404"/>
    </row>
    <row r="142" spans="5:42" ht="14.5" customHeight="1" x14ac:dyDescent="0.15">
      <c r="E142" s="912" t="s">
        <v>1144</v>
      </c>
      <c r="F142" s="899">
        <v>424</v>
      </c>
      <c r="G142" s="598">
        <v>400</v>
      </c>
      <c r="H142" s="404"/>
    </row>
    <row r="143" spans="5:42" ht="14.5" customHeight="1" x14ac:dyDescent="0.15">
      <c r="E143" s="912" t="s">
        <v>1260</v>
      </c>
      <c r="F143" s="899">
        <v>1028.2</v>
      </c>
      <c r="G143" s="598">
        <v>970</v>
      </c>
      <c r="H143" s="404"/>
    </row>
    <row r="144" spans="5:42" ht="14.5" customHeight="1" x14ac:dyDescent="0.15">
      <c r="E144" s="912" t="s">
        <v>1261</v>
      </c>
      <c r="F144" s="899">
        <v>1028.2</v>
      </c>
      <c r="G144" s="598">
        <v>970</v>
      </c>
      <c r="H144" s="404"/>
    </row>
    <row r="145" spans="5:42" ht="14.5" customHeight="1" x14ac:dyDescent="0.15">
      <c r="E145" s="912" t="s">
        <v>1262</v>
      </c>
      <c r="F145" s="899">
        <v>1203.1000000000001</v>
      </c>
      <c r="G145" s="598">
        <v>1135</v>
      </c>
      <c r="H145" s="404"/>
    </row>
    <row r="146" spans="5:42" ht="14.5" customHeight="1" x14ac:dyDescent="0.15">
      <c r="E146" s="912" t="s">
        <v>1109</v>
      </c>
      <c r="F146" s="899">
        <v>540.6</v>
      </c>
      <c r="G146" s="598">
        <v>510</v>
      </c>
      <c r="H146" s="404"/>
    </row>
    <row r="147" spans="5:42" ht="14.5" customHeight="1" x14ac:dyDescent="0.15">
      <c r="E147" s="912" t="s">
        <v>1263</v>
      </c>
      <c r="F147" s="899">
        <v>478.06</v>
      </c>
      <c r="G147" s="598">
        <v>451</v>
      </c>
      <c r="H147" s="404"/>
    </row>
    <row r="148" spans="5:42" ht="14.5" customHeight="1" x14ac:dyDescent="0.15">
      <c r="E148" s="912" t="s">
        <v>1264</v>
      </c>
      <c r="F148" s="899">
        <v>478.06</v>
      </c>
      <c r="G148" s="598">
        <v>451</v>
      </c>
      <c r="H148" s="404"/>
    </row>
    <row r="149" spans="5:42" ht="14.5" customHeight="1" x14ac:dyDescent="0.15">
      <c r="E149" s="912" t="s">
        <v>1119</v>
      </c>
      <c r="F149" s="899">
        <v>890.40000000000009</v>
      </c>
      <c r="G149" s="598">
        <v>840</v>
      </c>
      <c r="H149" s="404"/>
    </row>
    <row r="150" spans="5:42" ht="14.5" customHeight="1" x14ac:dyDescent="0.15">
      <c r="E150" s="912" t="s">
        <v>1265</v>
      </c>
      <c r="F150" s="899">
        <v>906.30000000000007</v>
      </c>
      <c r="G150" s="598">
        <v>855</v>
      </c>
      <c r="H150" s="404"/>
    </row>
    <row r="151" spans="5:42" ht="14.5" customHeight="1" x14ac:dyDescent="0.15">
      <c r="E151" s="912" t="s">
        <v>1266</v>
      </c>
      <c r="F151" s="899">
        <v>540.6</v>
      </c>
      <c r="G151" s="598">
        <v>510</v>
      </c>
      <c r="H151" s="404"/>
      <c r="AP151" s="409"/>
    </row>
    <row r="152" spans="5:42" ht="14.5" customHeight="1" x14ac:dyDescent="0.15">
      <c r="E152" s="912" t="s">
        <v>1132</v>
      </c>
      <c r="F152" s="899">
        <v>418.70000000000005</v>
      </c>
      <c r="G152" s="598">
        <v>395</v>
      </c>
      <c r="H152" s="404"/>
    </row>
    <row r="153" spans="5:42" ht="14.5" customHeight="1" x14ac:dyDescent="0.15">
      <c r="E153" s="912" t="s">
        <v>1108</v>
      </c>
      <c r="F153" s="899">
        <v>408.1</v>
      </c>
      <c r="G153" s="598">
        <v>385</v>
      </c>
      <c r="H153" s="404"/>
    </row>
    <row r="154" spans="5:42" ht="14.5" customHeight="1" x14ac:dyDescent="0.15">
      <c r="E154" s="912" t="s">
        <v>1267</v>
      </c>
      <c r="F154" s="899">
        <v>344.5</v>
      </c>
      <c r="G154" s="598">
        <v>325</v>
      </c>
      <c r="H154" s="404"/>
    </row>
    <row r="155" spans="5:42" ht="14.5" customHeight="1" x14ac:dyDescent="0.15">
      <c r="E155" s="912" t="s">
        <v>1268</v>
      </c>
      <c r="F155" s="899">
        <v>540.6</v>
      </c>
      <c r="G155" s="598">
        <v>510</v>
      </c>
      <c r="H155" s="404"/>
    </row>
    <row r="156" spans="5:42" ht="14.5" customHeight="1" x14ac:dyDescent="0.15">
      <c r="E156" s="912" t="s">
        <v>1269</v>
      </c>
      <c r="F156" s="899">
        <v>622.22</v>
      </c>
      <c r="G156" s="598">
        <v>587</v>
      </c>
      <c r="H156" s="404"/>
    </row>
    <row r="157" spans="5:42" ht="14.5" customHeight="1" x14ac:dyDescent="0.15">
      <c r="E157" s="912" t="s">
        <v>1270</v>
      </c>
      <c r="F157" s="899">
        <v>578.76</v>
      </c>
      <c r="G157" s="598">
        <v>546</v>
      </c>
      <c r="H157" s="404"/>
    </row>
    <row r="158" spans="5:42" ht="14.5" customHeight="1" x14ac:dyDescent="0.15">
      <c r="E158" s="912" t="s">
        <v>1166</v>
      </c>
      <c r="F158" s="899">
        <v>524.70000000000005</v>
      </c>
      <c r="G158" s="598">
        <v>495</v>
      </c>
      <c r="H158" s="404"/>
    </row>
    <row r="159" spans="5:42" ht="14.5" customHeight="1" x14ac:dyDescent="0.15">
      <c r="E159" s="912" t="s">
        <v>1271</v>
      </c>
      <c r="F159" s="899">
        <v>940.22</v>
      </c>
      <c r="G159" s="598">
        <v>887</v>
      </c>
      <c r="H159" s="404"/>
    </row>
    <row r="160" spans="5:42" ht="14.5" customHeight="1" x14ac:dyDescent="0.15">
      <c r="E160" s="912" t="s">
        <v>1150</v>
      </c>
      <c r="F160" s="899">
        <v>858.6</v>
      </c>
      <c r="G160" s="598">
        <v>810</v>
      </c>
      <c r="H160" s="404"/>
    </row>
    <row r="161" spans="5:8" ht="14.5" customHeight="1" x14ac:dyDescent="0.15">
      <c r="E161" s="912" t="s">
        <v>1167</v>
      </c>
      <c r="F161" s="899">
        <v>858.6</v>
      </c>
      <c r="G161" s="598">
        <v>810</v>
      </c>
      <c r="H161" s="404"/>
    </row>
    <row r="162" spans="5:8" ht="14.5" customHeight="1" x14ac:dyDescent="0.15">
      <c r="E162" s="912" t="s">
        <v>1146</v>
      </c>
      <c r="F162" s="899">
        <v>858.6</v>
      </c>
      <c r="G162" s="598">
        <v>810</v>
      </c>
      <c r="H162" s="404"/>
    </row>
    <row r="163" spans="5:8" ht="14.5" customHeight="1" x14ac:dyDescent="0.15">
      <c r="E163" s="912" t="s">
        <v>1272</v>
      </c>
      <c r="F163" s="899">
        <v>906.30000000000007</v>
      </c>
      <c r="G163" s="598">
        <v>855</v>
      </c>
      <c r="H163" s="404"/>
    </row>
    <row r="164" spans="5:8" ht="14.5" customHeight="1" x14ac:dyDescent="0.15">
      <c r="E164" s="912" t="s">
        <v>1273</v>
      </c>
      <c r="F164" s="899">
        <v>396.44</v>
      </c>
      <c r="G164" s="598">
        <v>374</v>
      </c>
      <c r="H164" s="404"/>
    </row>
    <row r="165" spans="5:8" ht="14.5" customHeight="1" x14ac:dyDescent="0.15">
      <c r="E165" s="912" t="s">
        <v>1274</v>
      </c>
      <c r="F165" s="899">
        <v>1203.1000000000001</v>
      </c>
      <c r="G165" s="598">
        <v>1135</v>
      </c>
      <c r="H165" s="404"/>
    </row>
    <row r="166" spans="5:8" ht="14.5" customHeight="1" x14ac:dyDescent="0.15">
      <c r="E166" s="912" t="s">
        <v>1133</v>
      </c>
      <c r="F166" s="899">
        <v>424</v>
      </c>
      <c r="G166" s="598">
        <v>400</v>
      </c>
      <c r="H166" s="404"/>
    </row>
    <row r="167" spans="5:8" ht="14.5" customHeight="1" x14ac:dyDescent="0.15">
      <c r="E167" s="912" t="s">
        <v>1123</v>
      </c>
      <c r="F167" s="899">
        <v>371</v>
      </c>
      <c r="G167" s="598">
        <v>350</v>
      </c>
      <c r="H167" s="404"/>
    </row>
    <row r="168" spans="5:8" ht="14.5" customHeight="1" x14ac:dyDescent="0.15">
      <c r="E168" s="912" t="s">
        <v>1275</v>
      </c>
      <c r="F168" s="899">
        <v>940.22</v>
      </c>
      <c r="G168" s="598">
        <v>887</v>
      </c>
      <c r="H168" s="404"/>
    </row>
    <row r="169" spans="5:8" ht="14.5" customHeight="1" x14ac:dyDescent="0.15">
      <c r="E169" s="912" t="s">
        <v>1136</v>
      </c>
      <c r="F169" s="899">
        <v>545.9</v>
      </c>
      <c r="G169" s="598">
        <v>515</v>
      </c>
      <c r="H169" s="404"/>
    </row>
    <row r="170" spans="5:8" ht="14.5" customHeight="1" x14ac:dyDescent="0.15">
      <c r="E170" s="912" t="s">
        <v>1276</v>
      </c>
      <c r="F170" s="899">
        <v>355.1</v>
      </c>
      <c r="G170" s="598">
        <v>335</v>
      </c>
      <c r="H170" s="404"/>
    </row>
    <row r="171" spans="5:8" ht="14.5" customHeight="1" x14ac:dyDescent="0.15">
      <c r="E171" s="912" t="s">
        <v>1173</v>
      </c>
      <c r="F171" s="899">
        <v>1038.8</v>
      </c>
      <c r="G171" s="598">
        <v>980</v>
      </c>
      <c r="H171" s="404"/>
    </row>
    <row r="172" spans="5:8" ht="14.5" customHeight="1" x14ac:dyDescent="0.15">
      <c r="E172" s="912" t="s">
        <v>1149</v>
      </c>
      <c r="F172" s="899">
        <v>731.40000000000009</v>
      </c>
      <c r="G172" s="598">
        <v>690</v>
      </c>
      <c r="H172" s="404"/>
    </row>
    <row r="173" spans="5:8" ht="14.5" customHeight="1" x14ac:dyDescent="0.15">
      <c r="E173" s="912" t="s">
        <v>1277</v>
      </c>
      <c r="F173" s="899">
        <v>355.1</v>
      </c>
      <c r="G173" s="598">
        <v>335</v>
      </c>
      <c r="H173" s="404"/>
    </row>
    <row r="174" spans="5:8" ht="14.5" customHeight="1" x14ac:dyDescent="0.15">
      <c r="E174" s="912" t="s">
        <v>1278</v>
      </c>
      <c r="F174" s="899">
        <v>386.90000000000003</v>
      </c>
      <c r="G174" s="598">
        <v>365</v>
      </c>
      <c r="H174" s="404"/>
    </row>
    <row r="175" spans="5:8" ht="14.5" customHeight="1" x14ac:dyDescent="0.15">
      <c r="E175" s="912" t="s">
        <v>1279</v>
      </c>
      <c r="F175" s="899">
        <v>1203.1000000000001</v>
      </c>
      <c r="G175" s="598">
        <v>1135</v>
      </c>
      <c r="H175" s="404"/>
    </row>
    <row r="176" spans="5:8" ht="14.5" customHeight="1" x14ac:dyDescent="0.15">
      <c r="E176" s="912" t="s">
        <v>1280</v>
      </c>
      <c r="F176" s="899">
        <v>906.30000000000007</v>
      </c>
      <c r="G176" s="598">
        <v>855</v>
      </c>
      <c r="H176" s="404"/>
    </row>
    <row r="177" spans="5:8" ht="14.5" customHeight="1" x14ac:dyDescent="0.15">
      <c r="E177" s="912" t="s">
        <v>1281</v>
      </c>
      <c r="F177" s="899">
        <v>940.22</v>
      </c>
      <c r="G177" s="598">
        <v>887</v>
      </c>
      <c r="H177" s="404"/>
    </row>
    <row r="178" spans="5:8" ht="14.5" customHeight="1" x14ac:dyDescent="0.15">
      <c r="E178" s="912" t="s">
        <v>1155</v>
      </c>
      <c r="F178" s="899">
        <v>858.6</v>
      </c>
      <c r="G178" s="598">
        <v>810</v>
      </c>
      <c r="H178" s="404"/>
    </row>
    <row r="179" spans="5:8" ht="14.5" customHeight="1" x14ac:dyDescent="0.15">
      <c r="E179" s="912" t="s">
        <v>1282</v>
      </c>
      <c r="F179" s="899">
        <v>540.6</v>
      </c>
      <c r="G179" s="598">
        <v>510</v>
      </c>
      <c r="H179" s="404"/>
    </row>
    <row r="180" spans="5:8" ht="14.5" customHeight="1" x14ac:dyDescent="0.15">
      <c r="E180" s="912" t="s">
        <v>1157</v>
      </c>
      <c r="F180" s="899">
        <v>1022.9000000000001</v>
      </c>
      <c r="G180" s="598">
        <v>965</v>
      </c>
      <c r="H180" s="404"/>
    </row>
    <row r="181" spans="5:8" ht="14.5" customHeight="1" x14ac:dyDescent="0.15">
      <c r="E181" s="912" t="s">
        <v>1158</v>
      </c>
      <c r="F181" s="899">
        <v>795</v>
      </c>
      <c r="G181" s="598">
        <v>750</v>
      </c>
      <c r="H181" s="404"/>
    </row>
    <row r="182" spans="5:8" ht="14.5" customHeight="1" x14ac:dyDescent="0.15">
      <c r="E182" s="912" t="s">
        <v>1283</v>
      </c>
      <c r="F182" s="899">
        <v>540.6</v>
      </c>
      <c r="G182" s="598">
        <v>510</v>
      </c>
      <c r="H182" s="404"/>
    </row>
    <row r="183" spans="5:8" ht="14.5" customHeight="1" x14ac:dyDescent="0.15">
      <c r="E183" s="912" t="s">
        <v>1284</v>
      </c>
      <c r="F183" s="899">
        <v>622.22</v>
      </c>
      <c r="G183" s="598">
        <v>587</v>
      </c>
      <c r="H183" s="404"/>
    </row>
    <row r="184" spans="5:8" ht="14.5" customHeight="1" x14ac:dyDescent="0.15">
      <c r="E184" s="912" t="s">
        <v>1148</v>
      </c>
      <c r="F184" s="899">
        <v>651.9</v>
      </c>
      <c r="G184" s="598">
        <v>615</v>
      </c>
      <c r="H184" s="404"/>
    </row>
    <row r="185" spans="5:8" ht="14.5" customHeight="1" x14ac:dyDescent="0.15">
      <c r="E185" s="912" t="s">
        <v>1147</v>
      </c>
      <c r="F185" s="899">
        <v>651.9</v>
      </c>
      <c r="G185" s="598">
        <v>615</v>
      </c>
      <c r="H185" s="404"/>
    </row>
    <row r="186" spans="5:8" ht="14.5" customHeight="1" x14ac:dyDescent="0.15">
      <c r="E186" s="912" t="s">
        <v>1176</v>
      </c>
      <c r="F186" s="899">
        <v>344.5</v>
      </c>
      <c r="G186" s="598">
        <v>325</v>
      </c>
      <c r="H186" s="404"/>
    </row>
    <row r="187" spans="5:8" ht="14.5" customHeight="1" x14ac:dyDescent="0.15">
      <c r="E187" s="912" t="s">
        <v>1285</v>
      </c>
      <c r="F187" s="899">
        <v>906.30000000000007</v>
      </c>
      <c r="G187" s="598">
        <v>855</v>
      </c>
      <c r="H187" s="404"/>
    </row>
    <row r="188" spans="5:8" ht="14.5" customHeight="1" x14ac:dyDescent="0.15">
      <c r="E188" s="912" t="s">
        <v>1286</v>
      </c>
      <c r="F188" s="899">
        <v>344.5</v>
      </c>
      <c r="G188" s="598">
        <v>325</v>
      </c>
      <c r="H188" s="404"/>
    </row>
    <row r="189" spans="5:8" ht="14.5" customHeight="1" x14ac:dyDescent="0.15">
      <c r="E189" s="912" t="s">
        <v>1287</v>
      </c>
      <c r="F189" s="899">
        <v>386.90000000000003</v>
      </c>
      <c r="G189" s="598">
        <v>365</v>
      </c>
      <c r="H189" s="404"/>
    </row>
    <row r="190" spans="5:8" ht="14.5" customHeight="1" x14ac:dyDescent="0.15">
      <c r="E190" s="912" t="s">
        <v>1288</v>
      </c>
      <c r="F190" s="899">
        <v>906.30000000000007</v>
      </c>
      <c r="G190" s="598">
        <v>855</v>
      </c>
      <c r="H190" s="404"/>
    </row>
    <row r="191" spans="5:8" ht="14.5" customHeight="1" x14ac:dyDescent="0.15">
      <c r="E191" s="912" t="s">
        <v>1289</v>
      </c>
      <c r="F191" s="899">
        <v>540.6</v>
      </c>
      <c r="G191" s="598">
        <v>510</v>
      </c>
      <c r="H191" s="404"/>
    </row>
    <row r="192" spans="5:8" ht="14.5" customHeight="1" x14ac:dyDescent="0.15">
      <c r="E192" s="912" t="s">
        <v>1183</v>
      </c>
      <c r="F192" s="899">
        <v>567.1</v>
      </c>
      <c r="G192" s="598">
        <v>535</v>
      </c>
      <c r="H192" s="404"/>
    </row>
    <row r="193" spans="5:8" ht="14.5" customHeight="1" x14ac:dyDescent="0.15">
      <c r="E193" s="912" t="s">
        <v>1290</v>
      </c>
      <c r="F193" s="899">
        <v>386.90000000000003</v>
      </c>
      <c r="G193" s="598">
        <v>365</v>
      </c>
      <c r="H193" s="404"/>
    </row>
    <row r="194" spans="5:8" ht="14.5" customHeight="1" x14ac:dyDescent="0.15">
      <c r="E194" s="912" t="s">
        <v>1291</v>
      </c>
      <c r="F194" s="899">
        <v>906.30000000000007</v>
      </c>
      <c r="G194" s="598">
        <v>855</v>
      </c>
      <c r="H194" s="404"/>
    </row>
    <row r="195" spans="5:8" ht="14.5" customHeight="1" x14ac:dyDescent="0.15">
      <c r="E195" s="912" t="s">
        <v>1292</v>
      </c>
      <c r="F195" s="899">
        <v>376.3</v>
      </c>
      <c r="G195" s="598">
        <v>355</v>
      </c>
      <c r="H195" s="404"/>
    </row>
    <row r="196" spans="5:8" ht="14.5" customHeight="1" x14ac:dyDescent="0.15">
      <c r="E196" s="912" t="s">
        <v>1293</v>
      </c>
      <c r="F196" s="899">
        <v>622.22</v>
      </c>
      <c r="G196" s="598">
        <v>587</v>
      </c>
      <c r="H196" s="404"/>
    </row>
    <row r="197" spans="5:8" ht="14.5" customHeight="1" x14ac:dyDescent="0.15">
      <c r="E197" s="912" t="s">
        <v>1294</v>
      </c>
      <c r="F197" s="899">
        <v>940.22</v>
      </c>
      <c r="G197" s="598">
        <v>887</v>
      </c>
      <c r="H197" s="404"/>
    </row>
    <row r="198" spans="5:8" ht="14.5" customHeight="1" x14ac:dyDescent="0.15">
      <c r="E198" s="912" t="s">
        <v>1134</v>
      </c>
      <c r="F198" s="899">
        <v>901</v>
      </c>
      <c r="G198" s="598">
        <v>850</v>
      </c>
      <c r="H198" s="404"/>
    </row>
    <row r="199" spans="5:8" ht="14.5" customHeight="1" x14ac:dyDescent="0.15">
      <c r="E199" s="403"/>
      <c r="F199" s="899"/>
      <c r="G199" s="598"/>
      <c r="H199" s="404"/>
    </row>
    <row r="200" spans="5:8" ht="14.5" customHeight="1" x14ac:dyDescent="0.15">
      <c r="E200" s="912" t="s">
        <v>1295</v>
      </c>
      <c r="F200" s="899">
        <v>540.6</v>
      </c>
      <c r="G200" s="598">
        <v>510</v>
      </c>
      <c r="H200" s="404"/>
    </row>
    <row r="201" spans="5:8" ht="14.5" customHeight="1" x14ac:dyDescent="0.15">
      <c r="E201" s="912" t="s">
        <v>1135</v>
      </c>
      <c r="F201" s="899">
        <v>429.3</v>
      </c>
      <c r="G201" s="598">
        <v>405</v>
      </c>
      <c r="H201" s="404"/>
    </row>
    <row r="202" spans="5:8" ht="14.5" customHeight="1" x14ac:dyDescent="0.15">
      <c r="E202" s="912" t="s">
        <v>1296</v>
      </c>
      <c r="F202" s="899">
        <v>386.90000000000003</v>
      </c>
      <c r="G202" s="598">
        <v>365</v>
      </c>
      <c r="H202" s="404"/>
    </row>
    <row r="203" spans="5:8" ht="14.5" customHeight="1" x14ac:dyDescent="0.15">
      <c r="E203" s="912" t="s">
        <v>1159</v>
      </c>
      <c r="F203" s="899">
        <v>646.6</v>
      </c>
      <c r="G203" s="598">
        <v>610</v>
      </c>
      <c r="H203" s="404"/>
    </row>
    <row r="204" spans="5:8" ht="14.5" customHeight="1" x14ac:dyDescent="0.15">
      <c r="E204" s="912" t="s">
        <v>1168</v>
      </c>
      <c r="F204" s="899">
        <v>630.70000000000005</v>
      </c>
      <c r="G204" s="598">
        <v>595</v>
      </c>
      <c r="H204" s="404"/>
    </row>
    <row r="205" spans="5:8" ht="14.5" customHeight="1" x14ac:dyDescent="0.15">
      <c r="E205" s="912" t="s">
        <v>1297</v>
      </c>
      <c r="F205" s="899">
        <v>906.30000000000007</v>
      </c>
      <c r="G205" s="598">
        <v>855</v>
      </c>
      <c r="H205" s="404"/>
    </row>
    <row r="206" spans="5:8" ht="14.5" customHeight="1" x14ac:dyDescent="0.15">
      <c r="E206" s="912" t="s">
        <v>1151</v>
      </c>
      <c r="F206" s="899">
        <v>593.6</v>
      </c>
      <c r="G206" s="598">
        <v>560</v>
      </c>
      <c r="H206" s="404"/>
    </row>
    <row r="207" spans="5:8" ht="14.5" customHeight="1" x14ac:dyDescent="0.15">
      <c r="E207" s="912" t="s">
        <v>1169</v>
      </c>
      <c r="F207" s="899">
        <v>895.7</v>
      </c>
      <c r="G207" s="598">
        <v>845</v>
      </c>
      <c r="H207" s="404"/>
    </row>
  </sheetData>
  <protectedRanges>
    <protectedRange sqref="AP151 AP123 AP136 AP5" name="Estimating_4"/>
    <protectedRange sqref="AY90:AY101 AX73:AX119 AX63:AX64 AX49:AX55 AX6:AX27 AY6:AY24" name="Pricing_4" securityDescriptor="O:WDG:WDD:(A;;CC;;;S-1-5-21-1993962763-879983540-839522115-1221)"/>
    <protectedRange sqref="AY90:AY101 AU103:AW111 AU6:AU26 AX73:AX119 AU73:AU102 AU49:AU55 AX63:AX64 AU63:AU64 AX49:AX55 AV51 AX6:AX27 AY6:AY24 AV53:AW102 AV6:AW50" name="Full_4" securityDescriptor="O:WDG:WDD:(A;;CC;;;S-1-5-21-1993962763-879983540-839522115-1156)"/>
    <protectedRange sqref="AU5:AX5" name="Full_1_4" securityDescriptor="O:WDG:WDD:(A;;CC;;;S-1-5-21-1993962763-879983540-839522115-1156)"/>
    <protectedRange sqref="AP19 AP32 AP45 AP58 AP71 AP84 AP97 AP110" name="Estimating_4_1"/>
    <protectedRange sqref="AK46:AK48" name="Full" securityDescriptor="O:WDG:WDD:(A;;CC;;;S-1-5-21-1993962763-879983540-839522115-1156)"/>
    <protectedRange sqref="AL46:AL48" name="Full_1" securityDescriptor="O:WDG:WDD:(A;;CC;;;S-1-5-21-1993962763-879983540-839522115-1156)"/>
    <protectedRange sqref="AK52:AK56" name="Full_2" securityDescriptor="O:WDG:WDD:(A;;CC;;;S-1-5-21-1993962763-879983540-839522115-1156)"/>
    <protectedRange sqref="AL52:AL56" name="Full_3" securityDescriptor="O:WDG:WDD:(A;;CC;;;S-1-5-21-1993962763-879983540-839522115-1156)"/>
    <protectedRange sqref="AK59:AK65" name="Full_5" securityDescriptor="O:WDG:WDD:(A;;CC;;;S-1-5-21-1993962763-879983540-839522115-1156)"/>
    <protectedRange sqref="AL59:AL65" name="Full_6" securityDescriptor="O:WDG:WDD:(A;;CC;;;S-1-5-21-1993962763-879983540-839522115-1156)"/>
    <protectedRange sqref="AK69:AK74" name="Full_7" securityDescriptor="O:WDG:WDD:(A;;CC;;;S-1-5-21-1993962763-879983540-839522115-1156)"/>
    <protectedRange sqref="AL69:AL74" name="Full_8" securityDescriptor="O:WDG:WDD:(A;;CC;;;S-1-5-21-1993962763-879983540-839522115-1156)"/>
    <protectedRange sqref="BF13:BI13 BK13:BO13 AU65:AU70 BE14:BE21 BE22:BK23 BE24:BP36 BD14:BD36 BF15:BI21 AU56:AU62 BK15:BO21 AX28:AX48" name="Full_9" securityDescriptor="O:WDG:WDD:(A;;CC;;;S-1-5-21-1993962763-879983540-839522115-1156)"/>
    <protectedRange sqref="AU27 BC14" name="Full_3_1" securityDescriptor="O:WDG:WDD:(A;;CC;;;S-1-5-21-1993962763-879983540-839522115-1156)"/>
    <protectedRange sqref="BB15:BC35 BC36 BB36:BB48 AU28:AU48" name="Full_3_1_1" securityDescriptor="O:WDG:WDD:(A;;CC;;;S-1-5-21-1993962763-879983540-839522115-1156)"/>
    <protectedRange sqref="AU71:AU72 BL22:BO23" name="Full_11" securityDescriptor="O:WDG:WDD:(A;;CC;;;S-1-5-21-1993962763-879983540-839522115-1156)"/>
    <protectedRange sqref="BJ13 BJ15:BJ21 AX56:AX62" name="Full_13" securityDescriptor="O:WDG:WDD:(A;;CC;;;S-1-5-21-1993962763-879983540-839522115-1156)"/>
    <protectedRange sqref="BP13 AX65:AX72 BP15:BP23" name="Full_15" securityDescriptor="O:WDG:WDD:(A;;CC;;;S-1-5-21-1993962763-879983540-839522115-1156)"/>
  </protectedRanges>
  <mergeCells count="7">
    <mergeCell ref="AV52:AW52"/>
    <mergeCell ref="BF13:BI13"/>
    <mergeCell ref="BL13:BO13"/>
    <mergeCell ref="BB6:BD6"/>
    <mergeCell ref="A1:C1"/>
    <mergeCell ref="A2:C2"/>
    <mergeCell ref="AV51:AW51"/>
  </mergeCells>
  <pageMargins left="0.7" right="0.7" top="0.75" bottom="0.75" header="0.3" footer="0.3"/>
  <pageSetup paperSize="8"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rgb="FFFF0000"/>
  </sheetPr>
  <dimension ref="A1:AT670"/>
  <sheetViews>
    <sheetView zoomScale="70" zoomScaleNormal="70" workbookViewId="0">
      <pane xSplit="6" ySplit="1" topLeftCell="G2" activePane="bottomRight" state="frozen"/>
      <selection activeCell="E1" sqref="E1"/>
      <selection pane="topRight" activeCell="E1" sqref="E1"/>
      <selection pane="bottomLeft" activeCell="E1" sqref="E1"/>
      <selection pane="bottomRight" activeCell="AH16" sqref="AH16"/>
    </sheetView>
  </sheetViews>
  <sheetFormatPr baseColWidth="10" defaultColWidth="8.83203125" defaultRowHeight="16" x14ac:dyDescent="0.2"/>
  <cols>
    <col min="1" max="1" width="17.33203125" style="660" bestFit="1" customWidth="1"/>
    <col min="2" max="2" width="12" style="660" bestFit="1" customWidth="1"/>
    <col min="3" max="3" width="9.6640625" style="661" customWidth="1"/>
    <col min="4" max="4" width="27.6640625" style="662" bestFit="1" customWidth="1"/>
    <col min="5" max="5" width="18.1640625" style="663" bestFit="1" customWidth="1"/>
    <col min="6" max="6" width="12.33203125" style="633" bestFit="1" customWidth="1"/>
    <col min="7" max="7" width="17.1640625" style="633" bestFit="1" customWidth="1"/>
    <col min="8" max="8" width="25.6640625" style="664" bestFit="1" customWidth="1"/>
    <col min="9" max="9" width="10.83203125" style="664" bestFit="1" customWidth="1"/>
    <col min="10" max="10" width="16.5" style="664" bestFit="1" customWidth="1"/>
    <col min="11" max="11" width="18.1640625" style="664" bestFit="1" customWidth="1"/>
    <col min="12" max="12" width="23.83203125" style="664" bestFit="1" customWidth="1"/>
    <col min="13" max="13" width="21.6640625" style="664" bestFit="1" customWidth="1"/>
    <col min="14" max="14" width="18.33203125" style="664" bestFit="1" customWidth="1"/>
    <col min="15" max="15" width="18.83203125" style="664" bestFit="1" customWidth="1"/>
    <col min="16" max="16" width="15.1640625" style="633" bestFit="1" customWidth="1"/>
    <col min="17" max="17" width="23.5" style="633" bestFit="1" customWidth="1"/>
    <col min="18" max="18" width="14.6640625" style="633" bestFit="1" customWidth="1"/>
    <col min="19" max="19" width="14.5" style="633" bestFit="1" customWidth="1"/>
    <col min="20" max="20" width="10.5" style="633" bestFit="1" customWidth="1"/>
    <col min="21" max="21" width="19.33203125" style="633" bestFit="1" customWidth="1"/>
    <col min="22" max="22" width="16.1640625" style="633" bestFit="1" customWidth="1"/>
    <col min="23" max="23" width="17.33203125" style="633" bestFit="1" customWidth="1"/>
    <col min="24" max="26" width="20.83203125" style="633" customWidth="1"/>
    <col min="27" max="29" width="22.33203125" style="633" customWidth="1"/>
    <col min="30" max="30" width="18.33203125" style="633" bestFit="1" customWidth="1"/>
    <col min="31" max="31" width="18" style="633" customWidth="1"/>
    <col min="32" max="32" width="18.1640625" style="633" customWidth="1"/>
    <col min="33" max="33" width="26.33203125" style="633" customWidth="1"/>
    <col min="34" max="34" width="18.1640625" style="633" customWidth="1"/>
    <col min="35" max="35" width="22.83203125" style="633" customWidth="1"/>
    <col min="36" max="36" width="18" style="636" bestFit="1" customWidth="1"/>
    <col min="37" max="37" width="31.6640625" style="636" bestFit="1" customWidth="1"/>
    <col min="38" max="38" width="39.33203125" style="636" bestFit="1" customWidth="1"/>
    <col min="39" max="39" width="37.6640625" style="636" bestFit="1" customWidth="1"/>
    <col min="40" max="40" width="31" style="636" bestFit="1" customWidth="1"/>
    <col min="41" max="41" width="38.5" style="636" bestFit="1" customWidth="1"/>
    <col min="42" max="42" width="36.83203125" style="636" bestFit="1" customWidth="1"/>
    <col min="43" max="43" width="31.6640625" style="636" bestFit="1" customWidth="1"/>
    <col min="44" max="44" width="39.33203125" style="636" bestFit="1" customWidth="1"/>
    <col min="45" max="45" width="37.5" style="636" bestFit="1" customWidth="1"/>
    <col min="46" max="46" width="8.83203125" style="636"/>
    <col min="47" max="16384" width="8.83203125" style="633"/>
  </cols>
  <sheetData>
    <row r="1" spans="1:46" s="627" customFormat="1" ht="18" x14ac:dyDescent="0.15">
      <c r="A1" s="625" t="s">
        <v>198</v>
      </c>
      <c r="B1" s="625" t="s">
        <v>129</v>
      </c>
      <c r="C1" s="625" t="s">
        <v>128</v>
      </c>
      <c r="D1" s="625" t="s">
        <v>210</v>
      </c>
      <c r="E1" s="625" t="s">
        <v>34</v>
      </c>
      <c r="F1" s="625" t="s">
        <v>166</v>
      </c>
      <c r="G1" s="625" t="s">
        <v>171</v>
      </c>
      <c r="H1" s="625" t="s">
        <v>109</v>
      </c>
      <c r="I1" s="625" t="s">
        <v>564</v>
      </c>
      <c r="J1" s="626" t="s">
        <v>560</v>
      </c>
      <c r="K1" s="626" t="s">
        <v>548</v>
      </c>
      <c r="L1" s="626" t="s">
        <v>178</v>
      </c>
      <c r="M1" s="626" t="s">
        <v>167</v>
      </c>
      <c r="N1" s="626" t="s">
        <v>554</v>
      </c>
      <c r="O1" s="626" t="s">
        <v>15</v>
      </c>
      <c r="P1" s="626" t="s">
        <v>168</v>
      </c>
      <c r="Q1" s="626" t="s">
        <v>354</v>
      </c>
      <c r="R1" s="626" t="s">
        <v>163</v>
      </c>
      <c r="S1" s="625" t="s">
        <v>164</v>
      </c>
      <c r="T1" s="625" t="s">
        <v>174</v>
      </c>
      <c r="U1" s="626" t="s">
        <v>179</v>
      </c>
      <c r="V1" s="626" t="s">
        <v>180</v>
      </c>
      <c r="W1" s="625" t="s">
        <v>165</v>
      </c>
      <c r="X1" s="625" t="s">
        <v>574</v>
      </c>
      <c r="Y1" s="625" t="s">
        <v>585</v>
      </c>
      <c r="Z1" s="625" t="s">
        <v>586</v>
      </c>
      <c r="AA1" s="625" t="s">
        <v>54</v>
      </c>
      <c r="AB1" s="625" t="s">
        <v>572</v>
      </c>
      <c r="AC1" s="625" t="s">
        <v>573</v>
      </c>
      <c r="AD1" s="626" t="s">
        <v>169</v>
      </c>
      <c r="AI1" s="628"/>
      <c r="AJ1" s="628"/>
      <c r="AK1" s="629"/>
      <c r="AL1" s="629"/>
      <c r="AM1" s="629"/>
      <c r="AN1" s="629"/>
      <c r="AO1" s="629"/>
      <c r="AP1" s="629"/>
      <c r="AQ1" s="629"/>
      <c r="AR1" s="629"/>
      <c r="AS1" s="629"/>
      <c r="AT1" s="629"/>
    </row>
    <row r="2" spans="1:46" ht="17" thickBot="1" x14ac:dyDescent="0.25">
      <c r="A2" s="630" t="s">
        <v>187</v>
      </c>
      <c r="B2" s="630">
        <v>1000</v>
      </c>
      <c r="C2" s="630">
        <v>1000</v>
      </c>
      <c r="D2" s="630" t="str">
        <f>$A2&amp;B2&amp;C2</f>
        <v>UVX10001000</v>
      </c>
      <c r="E2" s="1046">
        <f>SUM(G2:AD2)</f>
        <v>1025.1896574</v>
      </c>
      <c r="F2" s="631">
        <v>16</v>
      </c>
      <c r="G2" s="632">
        <f>F2*CCBASE!$B$51</f>
        <v>576</v>
      </c>
      <c r="H2" s="632">
        <f>CCBASE!$I$11*B2/1000</f>
        <v>160.99296219999999</v>
      </c>
      <c r="I2" s="632"/>
      <c r="J2" s="632"/>
      <c r="K2" s="632"/>
      <c r="L2" s="631"/>
      <c r="M2" s="632">
        <f>CCBASE!$I$15*B2/1000</f>
        <v>79.84588500000001</v>
      </c>
      <c r="N2" s="632"/>
      <c r="O2" s="632"/>
      <c r="P2" s="632">
        <f>CCBASE!$I$10</f>
        <v>30.661922000000001</v>
      </c>
      <c r="Q2" s="632">
        <f>CCBASE!$I$51</f>
        <v>2.9</v>
      </c>
      <c r="R2" s="632">
        <f>CCBASE!$I$4</f>
        <v>8.3986041999999994</v>
      </c>
      <c r="S2" s="632">
        <f>CCBASE!$I$8</f>
        <v>16.25526</v>
      </c>
      <c r="T2" s="631"/>
      <c r="U2" s="632"/>
      <c r="V2" s="632"/>
      <c r="W2" s="632">
        <f>CCBASE!$I$40*B2/1000</f>
        <v>41.308039999999998</v>
      </c>
      <c r="X2" s="632"/>
      <c r="Y2" s="632"/>
      <c r="Z2" s="632"/>
      <c r="AA2" s="632"/>
      <c r="AB2" s="632"/>
      <c r="AC2" s="632"/>
      <c r="AD2" s="632">
        <f>CCBASE!$I$32*2</f>
        <v>108.826984</v>
      </c>
      <c r="AI2" s="634"/>
      <c r="AJ2" s="634"/>
      <c r="AK2" s="635"/>
      <c r="AL2" s="635"/>
      <c r="AM2" s="635"/>
      <c r="AN2" s="635"/>
      <c r="AO2" s="635"/>
      <c r="AP2" s="635"/>
      <c r="AQ2" s="635"/>
      <c r="AR2" s="635"/>
      <c r="AS2" s="635"/>
    </row>
    <row r="3" spans="1:46" x14ac:dyDescent="0.2">
      <c r="A3" s="630" t="s">
        <v>187</v>
      </c>
      <c r="B3" s="630">
        <v>1250</v>
      </c>
      <c r="C3" s="630">
        <v>1000</v>
      </c>
      <c r="D3" s="630" t="str">
        <f t="shared" ref="D3" si="0">$A3&amp;B3&amp;C3</f>
        <v>UVX12501000</v>
      </c>
      <c r="E3" s="1046">
        <f t="shared" ref="E3:E66" si="1">SUM(G3:AD3)</f>
        <v>1095.7263791999999</v>
      </c>
      <c r="F3" s="631">
        <v>16</v>
      </c>
      <c r="G3" s="632">
        <f>F3*CCBASE!$B$51</f>
        <v>576</v>
      </c>
      <c r="H3" s="632">
        <f>CCBASE!$I$11*B3/1000</f>
        <v>201.24120274999999</v>
      </c>
      <c r="I3" s="632"/>
      <c r="J3" s="632"/>
      <c r="K3" s="632"/>
      <c r="L3" s="631"/>
      <c r="M3" s="632">
        <f>CCBASE!$I$15*B3/1000</f>
        <v>99.807356250000012</v>
      </c>
      <c r="N3" s="632"/>
      <c r="O3" s="632"/>
      <c r="P3" s="632">
        <f>CCBASE!$I$10</f>
        <v>30.661922000000001</v>
      </c>
      <c r="Q3" s="632">
        <f>CCBASE!$I$51</f>
        <v>2.9</v>
      </c>
      <c r="R3" s="632">
        <f>CCBASE!$I$4</f>
        <v>8.3986041999999994</v>
      </c>
      <c r="S3" s="632">
        <f>CCBASE!$I$8</f>
        <v>16.25526</v>
      </c>
      <c r="T3" s="631"/>
      <c r="U3" s="632"/>
      <c r="V3" s="632"/>
      <c r="W3" s="632">
        <f>CCBASE!$I$40*B3/1000</f>
        <v>51.635049999999993</v>
      </c>
      <c r="X3" s="632"/>
      <c r="Y3" s="632"/>
      <c r="Z3" s="632"/>
      <c r="AA3" s="632"/>
      <c r="AB3" s="632"/>
      <c r="AC3" s="632"/>
      <c r="AD3" s="632">
        <f>CCBASE!$I$32*2</f>
        <v>108.826984</v>
      </c>
      <c r="AF3" s="1047" t="s">
        <v>732</v>
      </c>
      <c r="AG3" s="1048"/>
      <c r="AH3" s="1049"/>
      <c r="AI3" s="634"/>
      <c r="AJ3" s="634"/>
      <c r="AK3" s="635"/>
      <c r="AL3" s="635"/>
      <c r="AM3" s="635"/>
      <c r="AN3" s="635"/>
      <c r="AO3" s="635"/>
      <c r="AP3" s="635"/>
      <c r="AQ3" s="635"/>
      <c r="AR3" s="635"/>
      <c r="AS3" s="635"/>
    </row>
    <row r="4" spans="1:46" x14ac:dyDescent="0.2">
      <c r="A4" s="630" t="s">
        <v>187</v>
      </c>
      <c r="B4" s="630">
        <v>1500</v>
      </c>
      <c r="C4" s="630">
        <v>1000</v>
      </c>
      <c r="D4" s="630" t="str">
        <f t="shared" ref="D4" si="2">$A4&amp;B4&amp;C4</f>
        <v>UVX15001000</v>
      </c>
      <c r="E4" s="1046">
        <f t="shared" si="1"/>
        <v>1166.263101</v>
      </c>
      <c r="F4" s="631">
        <v>16</v>
      </c>
      <c r="G4" s="632">
        <f>F4*CCBASE!$B$51</f>
        <v>576</v>
      </c>
      <c r="H4" s="632">
        <f>CCBASE!$I$11*B4/1000</f>
        <v>241.48944329999998</v>
      </c>
      <c r="I4" s="632"/>
      <c r="J4" s="632"/>
      <c r="K4" s="632"/>
      <c r="L4" s="631"/>
      <c r="M4" s="632">
        <f>CCBASE!$I$15*B4/1000</f>
        <v>119.76882750000001</v>
      </c>
      <c r="N4" s="632"/>
      <c r="O4" s="632"/>
      <c r="P4" s="632">
        <f>CCBASE!$I$10</f>
        <v>30.661922000000001</v>
      </c>
      <c r="Q4" s="632">
        <f>CCBASE!$I$51</f>
        <v>2.9</v>
      </c>
      <c r="R4" s="632">
        <f>CCBASE!$I$4</f>
        <v>8.3986041999999994</v>
      </c>
      <c r="S4" s="632">
        <f>CCBASE!$I$8</f>
        <v>16.25526</v>
      </c>
      <c r="T4" s="631"/>
      <c r="U4" s="632"/>
      <c r="V4" s="632"/>
      <c r="W4" s="632">
        <f>CCBASE!$I$40*B4/1000</f>
        <v>61.962060000000001</v>
      </c>
      <c r="X4" s="632"/>
      <c r="Y4" s="632"/>
      <c r="Z4" s="632"/>
      <c r="AA4" s="632"/>
      <c r="AB4" s="632"/>
      <c r="AC4" s="632"/>
      <c r="AD4" s="632">
        <f>CCBASE!$I$32*2</f>
        <v>108.826984</v>
      </c>
      <c r="AF4" s="1050" t="s">
        <v>731</v>
      </c>
      <c r="AG4" s="1051" t="s">
        <v>537</v>
      </c>
      <c r="AH4" s="1052"/>
      <c r="AI4" s="634"/>
      <c r="AJ4" s="634"/>
      <c r="AK4" s="635"/>
      <c r="AL4" s="635"/>
      <c r="AM4" s="635"/>
      <c r="AN4" s="635"/>
      <c r="AO4" s="635"/>
      <c r="AP4" s="635"/>
      <c r="AQ4" s="635"/>
      <c r="AR4" s="635"/>
      <c r="AS4" s="635"/>
    </row>
    <row r="5" spans="1:46" ht="17" thickBot="1" x14ac:dyDescent="0.25">
      <c r="A5" s="630" t="s">
        <v>187</v>
      </c>
      <c r="B5" s="630">
        <v>1750</v>
      </c>
      <c r="C5" s="630">
        <v>1000</v>
      </c>
      <c r="D5" s="630" t="str">
        <f t="shared" ref="D5:D37" si="3">$A5&amp;B5&amp;C5</f>
        <v>UVX17501000</v>
      </c>
      <c r="E5" s="1046">
        <f t="shared" si="1"/>
        <v>1236.7998227999999</v>
      </c>
      <c r="F5" s="631">
        <v>16</v>
      </c>
      <c r="G5" s="632">
        <f>F5*CCBASE!$B$51</f>
        <v>576</v>
      </c>
      <c r="H5" s="632">
        <f>CCBASE!$I$11*B5/1000</f>
        <v>281.73768385</v>
      </c>
      <c r="I5" s="632"/>
      <c r="J5" s="632"/>
      <c r="K5" s="632"/>
      <c r="L5" s="631"/>
      <c r="M5" s="632">
        <f>CCBASE!$I$15*B5/1000</f>
        <v>139.73029875</v>
      </c>
      <c r="N5" s="632"/>
      <c r="O5" s="632"/>
      <c r="P5" s="632">
        <f>CCBASE!$I$10</f>
        <v>30.661922000000001</v>
      </c>
      <c r="Q5" s="632">
        <f>CCBASE!$I$51</f>
        <v>2.9</v>
      </c>
      <c r="R5" s="632">
        <f>CCBASE!$I$4</f>
        <v>8.3986041999999994</v>
      </c>
      <c r="S5" s="632">
        <f>CCBASE!$I$8</f>
        <v>16.25526</v>
      </c>
      <c r="T5" s="631"/>
      <c r="U5" s="632"/>
      <c r="V5" s="632"/>
      <c r="W5" s="632">
        <f>CCBASE!$I$40*B5/1000</f>
        <v>72.289069999999995</v>
      </c>
      <c r="X5" s="632"/>
      <c r="Y5" s="632"/>
      <c r="Z5" s="632"/>
      <c r="AA5" s="632"/>
      <c r="AB5" s="632"/>
      <c r="AC5" s="632"/>
      <c r="AD5" s="632">
        <f>CCBASE!$I$32*2</f>
        <v>108.826984</v>
      </c>
      <c r="AF5" s="1053">
        <v>45658</v>
      </c>
      <c r="AG5" s="1054">
        <v>0.06</v>
      </c>
      <c r="AH5" s="1055" t="s">
        <v>758</v>
      </c>
      <c r="AI5" s="634"/>
      <c r="AJ5" s="634"/>
      <c r="AK5" s="635"/>
      <c r="AL5" s="635"/>
      <c r="AM5" s="635"/>
      <c r="AN5" s="635"/>
      <c r="AO5" s="635"/>
      <c r="AP5" s="635"/>
      <c r="AQ5" s="635"/>
      <c r="AR5" s="635"/>
      <c r="AS5" s="635"/>
    </row>
    <row r="6" spans="1:46" x14ac:dyDescent="0.2">
      <c r="A6" s="630" t="s">
        <v>187</v>
      </c>
      <c r="B6" s="630">
        <v>2000</v>
      </c>
      <c r="C6" s="630">
        <v>1000</v>
      </c>
      <c r="D6" s="630" t="str">
        <f t="shared" si="3"/>
        <v>UVX20001000</v>
      </c>
      <c r="E6" s="1046">
        <f t="shared" si="1"/>
        <v>1316.3857448999997</v>
      </c>
      <c r="F6" s="631">
        <v>16</v>
      </c>
      <c r="G6" s="632">
        <f>F6*CCBASE!$B$51</f>
        <v>576</v>
      </c>
      <c r="H6" s="632">
        <f>CCBASE!$I$11*B6/1000</f>
        <v>321.98592439999999</v>
      </c>
      <c r="I6" s="632"/>
      <c r="J6" s="632"/>
      <c r="K6" s="632"/>
      <c r="L6" s="631"/>
      <c r="M6" s="632">
        <f>CCBASE!$I$15*B6/1000</f>
        <v>159.69177000000002</v>
      </c>
      <c r="N6" s="632"/>
      <c r="O6" s="632"/>
      <c r="P6" s="632">
        <f>CCBASE!$I$9</f>
        <v>39.7111223</v>
      </c>
      <c r="Q6" s="632">
        <f>CCBASE!$I$51</f>
        <v>2.9</v>
      </c>
      <c r="R6" s="632">
        <f>CCBASE!$I$4</f>
        <v>8.3986041999999994</v>
      </c>
      <c r="S6" s="632">
        <f>CCBASE!$I$8</f>
        <v>16.25526</v>
      </c>
      <c r="T6" s="631"/>
      <c r="U6" s="632"/>
      <c r="V6" s="632"/>
      <c r="W6" s="632">
        <f>CCBASE!$I$40*B6/1000</f>
        <v>82.616079999999997</v>
      </c>
      <c r="X6" s="632"/>
      <c r="Y6" s="632"/>
      <c r="Z6" s="632"/>
      <c r="AA6" s="632"/>
      <c r="AB6" s="632"/>
      <c r="AC6" s="632"/>
      <c r="AD6" s="632">
        <f>CCBASE!$I$32*2</f>
        <v>108.826984</v>
      </c>
      <c r="AI6" s="634"/>
      <c r="AJ6" s="634"/>
      <c r="AN6" s="635"/>
      <c r="AO6" s="635"/>
      <c r="AP6" s="635"/>
      <c r="AQ6" s="635"/>
      <c r="AR6" s="635"/>
      <c r="AS6" s="635"/>
    </row>
    <row r="7" spans="1:46" x14ac:dyDescent="0.2">
      <c r="A7" s="630" t="s">
        <v>187</v>
      </c>
      <c r="B7" s="630">
        <v>2250</v>
      </c>
      <c r="C7" s="630">
        <v>1000</v>
      </c>
      <c r="D7" s="630" t="str">
        <f t="shared" ref="D7" si="4">$A7&amp;B7&amp;C7</f>
        <v>UVX22501000</v>
      </c>
      <c r="E7" s="1046">
        <f t="shared" si="1"/>
        <v>1458.9224666999999</v>
      </c>
      <c r="F7" s="631">
        <v>18</v>
      </c>
      <c r="G7" s="632">
        <f>F7*CCBASE!$B$51</f>
        <v>648</v>
      </c>
      <c r="H7" s="632">
        <f>CCBASE!$I$11*B7/1000</f>
        <v>362.23416494999998</v>
      </c>
      <c r="I7" s="632"/>
      <c r="J7" s="632"/>
      <c r="K7" s="632"/>
      <c r="L7" s="631"/>
      <c r="M7" s="632">
        <f>CCBASE!$I$15*B7/1000</f>
        <v>179.65324125000001</v>
      </c>
      <c r="N7" s="632"/>
      <c r="O7" s="632"/>
      <c r="P7" s="632">
        <f>CCBASE!$I$9</f>
        <v>39.7111223</v>
      </c>
      <c r="Q7" s="632">
        <f>CCBASE!$I$51</f>
        <v>2.9</v>
      </c>
      <c r="R7" s="632">
        <f>CCBASE!$I$4</f>
        <v>8.3986041999999994</v>
      </c>
      <c r="S7" s="632">
        <f>CCBASE!$I$8</f>
        <v>16.25526</v>
      </c>
      <c r="T7" s="631"/>
      <c r="U7" s="632"/>
      <c r="V7" s="632"/>
      <c r="W7" s="632">
        <f>CCBASE!$I$40*B7/1000</f>
        <v>92.943089999999998</v>
      </c>
      <c r="X7" s="632"/>
      <c r="Y7" s="632"/>
      <c r="Z7" s="632"/>
      <c r="AA7" s="632"/>
      <c r="AB7" s="632"/>
      <c r="AC7" s="632"/>
      <c r="AD7" s="632">
        <f>CCBASE!$I$32*2</f>
        <v>108.826984</v>
      </c>
      <c r="AI7" s="634"/>
      <c r="AJ7" s="634"/>
      <c r="AN7" s="635"/>
      <c r="AO7" s="635"/>
      <c r="AP7" s="635"/>
      <c r="AQ7" s="635"/>
      <c r="AR7" s="635"/>
      <c r="AS7" s="635"/>
    </row>
    <row r="8" spans="1:46" x14ac:dyDescent="0.2">
      <c r="A8" s="630" t="s">
        <v>187</v>
      </c>
      <c r="B8" s="630">
        <v>2500</v>
      </c>
      <c r="C8" s="630">
        <v>1000</v>
      </c>
      <c r="D8" s="630" t="str">
        <f t="shared" si="3"/>
        <v>UVX25001000</v>
      </c>
      <c r="E8" s="1046">
        <f t="shared" si="1"/>
        <v>1529.4591884999998</v>
      </c>
      <c r="F8" s="631">
        <v>18</v>
      </c>
      <c r="G8" s="632">
        <f>F8*CCBASE!$B$51</f>
        <v>648</v>
      </c>
      <c r="H8" s="632">
        <f>CCBASE!$I$11*B8/1000</f>
        <v>402.48240549999997</v>
      </c>
      <c r="I8" s="632"/>
      <c r="J8" s="632"/>
      <c r="K8" s="632"/>
      <c r="L8" s="631"/>
      <c r="M8" s="632">
        <f>CCBASE!$I$15*B8/1000</f>
        <v>199.61471250000002</v>
      </c>
      <c r="N8" s="632"/>
      <c r="O8" s="632"/>
      <c r="P8" s="632">
        <f>CCBASE!$I$9</f>
        <v>39.7111223</v>
      </c>
      <c r="Q8" s="632">
        <f>CCBASE!$I$51</f>
        <v>2.9</v>
      </c>
      <c r="R8" s="632">
        <f>CCBASE!$I$4</f>
        <v>8.3986041999999994</v>
      </c>
      <c r="S8" s="632">
        <f>CCBASE!$I$8</f>
        <v>16.25526</v>
      </c>
      <c r="T8" s="631"/>
      <c r="U8" s="632"/>
      <c r="V8" s="632"/>
      <c r="W8" s="632">
        <f>CCBASE!$I$40*B8/1000</f>
        <v>103.27009999999999</v>
      </c>
      <c r="X8" s="632"/>
      <c r="Y8" s="632"/>
      <c r="Z8" s="632"/>
      <c r="AA8" s="632"/>
      <c r="AB8" s="632"/>
      <c r="AC8" s="632"/>
      <c r="AD8" s="632">
        <f>CCBASE!$I$32*2</f>
        <v>108.826984</v>
      </c>
      <c r="AI8" s="634"/>
      <c r="AJ8" s="634"/>
      <c r="AN8" s="635"/>
      <c r="AO8" s="635"/>
      <c r="AP8" s="635"/>
      <c r="AQ8" s="635"/>
      <c r="AR8" s="635"/>
      <c r="AS8" s="635"/>
    </row>
    <row r="9" spans="1:46" x14ac:dyDescent="0.2">
      <c r="A9" s="630" t="s">
        <v>187</v>
      </c>
      <c r="B9" s="630">
        <v>2750</v>
      </c>
      <c r="C9" s="630">
        <v>1000</v>
      </c>
      <c r="D9" s="630" t="str">
        <f t="shared" ref="D9" si="5">$A9&amp;B9&amp;C9</f>
        <v>UVX27501000</v>
      </c>
      <c r="E9" s="1046">
        <f t="shared" si="1"/>
        <v>1599.9959102999997</v>
      </c>
      <c r="F9" s="631">
        <v>18</v>
      </c>
      <c r="G9" s="632">
        <f>F9*CCBASE!$B$51</f>
        <v>648</v>
      </c>
      <c r="H9" s="632">
        <f>CCBASE!$I$11*B9/1000</f>
        <v>442.73064604999996</v>
      </c>
      <c r="I9" s="632"/>
      <c r="J9" s="632"/>
      <c r="K9" s="632"/>
      <c r="L9" s="631"/>
      <c r="M9" s="632">
        <f>CCBASE!$I$15*B9/1000</f>
        <v>219.57618375000001</v>
      </c>
      <c r="N9" s="632"/>
      <c r="O9" s="632"/>
      <c r="P9" s="632">
        <f>CCBASE!$I$9</f>
        <v>39.7111223</v>
      </c>
      <c r="Q9" s="632">
        <f>CCBASE!$I$51</f>
        <v>2.9</v>
      </c>
      <c r="R9" s="632">
        <f>CCBASE!$I$4</f>
        <v>8.3986041999999994</v>
      </c>
      <c r="S9" s="632">
        <f>CCBASE!$I$8</f>
        <v>16.25526</v>
      </c>
      <c r="T9" s="631"/>
      <c r="U9" s="632"/>
      <c r="V9" s="632"/>
      <c r="W9" s="632">
        <f>CCBASE!$I$40*B9/1000</f>
        <v>113.59711</v>
      </c>
      <c r="X9" s="632"/>
      <c r="Y9" s="632"/>
      <c r="Z9" s="632"/>
      <c r="AA9" s="632"/>
      <c r="AB9" s="632"/>
      <c r="AC9" s="632"/>
      <c r="AD9" s="632">
        <f>CCBASE!$I$32*2</f>
        <v>108.826984</v>
      </c>
      <c r="AI9" s="634"/>
      <c r="AJ9" s="634"/>
      <c r="AN9" s="635"/>
      <c r="AO9" s="635"/>
      <c r="AP9" s="635"/>
      <c r="AQ9" s="635"/>
      <c r="AR9" s="635"/>
      <c r="AS9" s="635"/>
    </row>
    <row r="10" spans="1:46" x14ac:dyDescent="0.2">
      <c r="A10" s="630" t="s">
        <v>187</v>
      </c>
      <c r="B10" s="630">
        <v>3000</v>
      </c>
      <c r="C10" s="630">
        <v>1000</v>
      </c>
      <c r="D10" s="630" t="str">
        <f t="shared" si="3"/>
        <v>UVX30001000</v>
      </c>
      <c r="E10" s="1046">
        <f t="shared" si="1"/>
        <v>1670.5326320999998</v>
      </c>
      <c r="F10" s="631">
        <v>18</v>
      </c>
      <c r="G10" s="632">
        <f>F10*CCBASE!$B$51</f>
        <v>648</v>
      </c>
      <c r="H10" s="632">
        <f>CCBASE!$I$11*B10/1000</f>
        <v>482.97888659999995</v>
      </c>
      <c r="I10" s="632"/>
      <c r="J10" s="632"/>
      <c r="K10" s="632"/>
      <c r="L10" s="631"/>
      <c r="M10" s="632">
        <f>CCBASE!$I$15*B10/1000</f>
        <v>239.53765500000003</v>
      </c>
      <c r="N10" s="632"/>
      <c r="O10" s="632"/>
      <c r="P10" s="632">
        <f>CCBASE!$I$9</f>
        <v>39.7111223</v>
      </c>
      <c r="Q10" s="632">
        <f>CCBASE!$I$51</f>
        <v>2.9</v>
      </c>
      <c r="R10" s="632">
        <f>CCBASE!$I$4</f>
        <v>8.3986041999999994</v>
      </c>
      <c r="S10" s="632">
        <f>CCBASE!$I$8</f>
        <v>16.25526</v>
      </c>
      <c r="T10" s="631"/>
      <c r="U10" s="632"/>
      <c r="V10" s="632"/>
      <c r="W10" s="632">
        <f>CCBASE!$I$40*B10/1000</f>
        <v>123.92412</v>
      </c>
      <c r="X10" s="632"/>
      <c r="Y10" s="632"/>
      <c r="Z10" s="632"/>
      <c r="AA10" s="632"/>
      <c r="AB10" s="632"/>
      <c r="AC10" s="632"/>
      <c r="AD10" s="632">
        <f>CCBASE!$I$32*2</f>
        <v>108.826984</v>
      </c>
      <c r="AI10" s="634"/>
      <c r="AJ10" s="634"/>
      <c r="AN10" s="635"/>
      <c r="AO10" s="635"/>
      <c r="AP10" s="635"/>
      <c r="AQ10" s="635"/>
      <c r="AR10" s="635"/>
      <c r="AS10" s="635"/>
    </row>
    <row r="11" spans="1:46" x14ac:dyDescent="0.2">
      <c r="A11" s="630" t="s">
        <v>187</v>
      </c>
      <c r="B11" s="630">
        <v>1000</v>
      </c>
      <c r="C11" s="630">
        <v>1250</v>
      </c>
      <c r="D11" s="630" t="str">
        <f t="shared" si="3"/>
        <v>UVX10001250</v>
      </c>
      <c r="E11" s="1046">
        <f t="shared" si="1"/>
        <v>1025.1896574</v>
      </c>
      <c r="F11" s="631">
        <v>16</v>
      </c>
      <c r="G11" s="632">
        <f>F11*CCBASE!$B$51</f>
        <v>576</v>
      </c>
      <c r="H11" s="632">
        <f>CCBASE!$I$11*B11/1000</f>
        <v>160.99296219999999</v>
      </c>
      <c r="I11" s="632"/>
      <c r="J11" s="632"/>
      <c r="K11" s="632"/>
      <c r="L11" s="631"/>
      <c r="M11" s="632">
        <f>CCBASE!$I$15*B11/1000</f>
        <v>79.84588500000001</v>
      </c>
      <c r="N11" s="632"/>
      <c r="O11" s="632"/>
      <c r="P11" s="632">
        <f>CCBASE!$I$10</f>
        <v>30.661922000000001</v>
      </c>
      <c r="Q11" s="632">
        <f>CCBASE!$I$51</f>
        <v>2.9</v>
      </c>
      <c r="R11" s="632">
        <f>CCBASE!$I$4</f>
        <v>8.3986041999999994</v>
      </c>
      <c r="S11" s="632">
        <f>CCBASE!$I$8</f>
        <v>16.25526</v>
      </c>
      <c r="T11" s="631"/>
      <c r="U11" s="632"/>
      <c r="V11" s="632"/>
      <c r="W11" s="632">
        <f>CCBASE!$I$40*B11/1000</f>
        <v>41.308039999999998</v>
      </c>
      <c r="X11" s="632"/>
      <c r="Y11" s="632"/>
      <c r="Z11" s="632"/>
      <c r="AA11" s="632"/>
      <c r="AB11" s="632"/>
      <c r="AC11" s="632"/>
      <c r="AD11" s="632">
        <f>CCBASE!$I$32*2</f>
        <v>108.826984</v>
      </c>
      <c r="AI11" s="634"/>
      <c r="AJ11" s="634"/>
      <c r="AK11" s="635"/>
      <c r="AL11" s="635"/>
      <c r="AM11" s="635"/>
      <c r="AN11" s="635"/>
      <c r="AO11" s="635"/>
      <c r="AP11" s="635"/>
      <c r="AQ11" s="635"/>
      <c r="AR11" s="635"/>
      <c r="AS11" s="635"/>
    </row>
    <row r="12" spans="1:46" x14ac:dyDescent="0.2">
      <c r="A12" s="630" t="s">
        <v>187</v>
      </c>
      <c r="B12" s="630">
        <v>1250</v>
      </c>
      <c r="C12" s="630">
        <v>1250</v>
      </c>
      <c r="D12" s="630" t="str">
        <f t="shared" si="3"/>
        <v>UVX12501250</v>
      </c>
      <c r="E12" s="1046">
        <f t="shared" si="1"/>
        <v>1095.7263791999999</v>
      </c>
      <c r="F12" s="631">
        <v>16</v>
      </c>
      <c r="G12" s="632">
        <f>F12*CCBASE!$B$51</f>
        <v>576</v>
      </c>
      <c r="H12" s="632">
        <f>CCBASE!$I$11*B12/1000</f>
        <v>201.24120274999999</v>
      </c>
      <c r="I12" s="632"/>
      <c r="J12" s="632"/>
      <c r="K12" s="632"/>
      <c r="L12" s="631"/>
      <c r="M12" s="632">
        <f>CCBASE!$I$15*B12/1000</f>
        <v>99.807356250000012</v>
      </c>
      <c r="N12" s="632"/>
      <c r="O12" s="632"/>
      <c r="P12" s="632">
        <f>CCBASE!$I$10</f>
        <v>30.661922000000001</v>
      </c>
      <c r="Q12" s="632">
        <f>CCBASE!$I$51</f>
        <v>2.9</v>
      </c>
      <c r="R12" s="632">
        <f>CCBASE!$I$4</f>
        <v>8.3986041999999994</v>
      </c>
      <c r="S12" s="632">
        <f>CCBASE!$I$8</f>
        <v>16.25526</v>
      </c>
      <c r="T12" s="631"/>
      <c r="U12" s="632"/>
      <c r="V12" s="632"/>
      <c r="W12" s="632">
        <f>CCBASE!$I$40*B12/1000</f>
        <v>51.635049999999993</v>
      </c>
      <c r="X12" s="632"/>
      <c r="Y12" s="632"/>
      <c r="Z12" s="632"/>
      <c r="AA12" s="632"/>
      <c r="AB12" s="632"/>
      <c r="AC12" s="632"/>
      <c r="AD12" s="632">
        <f>CCBASE!$I$32*2</f>
        <v>108.826984</v>
      </c>
      <c r="AI12" s="634"/>
      <c r="AJ12" s="634"/>
      <c r="AK12" s="635"/>
      <c r="AL12" s="635"/>
      <c r="AM12" s="635"/>
      <c r="AN12" s="635"/>
      <c r="AO12" s="635"/>
      <c r="AP12" s="635"/>
      <c r="AQ12" s="635"/>
      <c r="AR12" s="635"/>
      <c r="AS12" s="635"/>
    </row>
    <row r="13" spans="1:46" x14ac:dyDescent="0.2">
      <c r="A13" s="630" t="s">
        <v>187</v>
      </c>
      <c r="B13" s="630">
        <v>1500</v>
      </c>
      <c r="C13" s="630">
        <v>1250</v>
      </c>
      <c r="D13" s="630" t="str">
        <f t="shared" ref="D13" si="6">$A13&amp;B13&amp;C13</f>
        <v>UVX15001250</v>
      </c>
      <c r="E13" s="1046">
        <f t="shared" si="1"/>
        <v>1166.263101</v>
      </c>
      <c r="F13" s="631">
        <v>16</v>
      </c>
      <c r="G13" s="632">
        <f>F13*CCBASE!$B$51</f>
        <v>576</v>
      </c>
      <c r="H13" s="632">
        <f>CCBASE!$I$11*B13/1000</f>
        <v>241.48944329999998</v>
      </c>
      <c r="I13" s="632"/>
      <c r="J13" s="632"/>
      <c r="K13" s="632"/>
      <c r="L13" s="631"/>
      <c r="M13" s="632">
        <f>CCBASE!$I$15*B13/1000</f>
        <v>119.76882750000001</v>
      </c>
      <c r="N13" s="632"/>
      <c r="O13" s="632"/>
      <c r="P13" s="632">
        <f>CCBASE!$I$10</f>
        <v>30.661922000000001</v>
      </c>
      <c r="Q13" s="632">
        <f>CCBASE!$I$51</f>
        <v>2.9</v>
      </c>
      <c r="R13" s="632">
        <f>CCBASE!$I$4</f>
        <v>8.3986041999999994</v>
      </c>
      <c r="S13" s="632">
        <f>CCBASE!$I$8</f>
        <v>16.25526</v>
      </c>
      <c r="T13" s="631"/>
      <c r="U13" s="632"/>
      <c r="V13" s="632"/>
      <c r="W13" s="632">
        <f>CCBASE!$I$40*B13/1000</f>
        <v>61.962060000000001</v>
      </c>
      <c r="X13" s="632"/>
      <c r="Y13" s="632"/>
      <c r="Z13" s="632"/>
      <c r="AA13" s="632"/>
      <c r="AB13" s="632"/>
      <c r="AC13" s="632"/>
      <c r="AD13" s="632">
        <f>CCBASE!$I$32*2</f>
        <v>108.826984</v>
      </c>
      <c r="AI13" s="634"/>
      <c r="AJ13" s="634"/>
      <c r="AK13" s="635"/>
      <c r="AL13" s="635"/>
      <c r="AM13" s="635"/>
      <c r="AN13" s="635"/>
      <c r="AO13" s="635"/>
      <c r="AP13" s="635"/>
      <c r="AQ13" s="635"/>
      <c r="AR13" s="635"/>
      <c r="AS13" s="635"/>
    </row>
    <row r="14" spans="1:46" x14ac:dyDescent="0.2">
      <c r="A14" s="630" t="s">
        <v>187</v>
      </c>
      <c r="B14" s="630">
        <v>1750</v>
      </c>
      <c r="C14" s="630">
        <v>1250</v>
      </c>
      <c r="D14" s="630" t="str">
        <f t="shared" si="3"/>
        <v>UVX17501250</v>
      </c>
      <c r="E14" s="1046">
        <f t="shared" si="1"/>
        <v>1236.7998227999999</v>
      </c>
      <c r="F14" s="631">
        <v>16</v>
      </c>
      <c r="G14" s="632">
        <f>F14*CCBASE!$B$51</f>
        <v>576</v>
      </c>
      <c r="H14" s="632">
        <f>CCBASE!$I$11*B14/1000</f>
        <v>281.73768385</v>
      </c>
      <c r="I14" s="632"/>
      <c r="J14" s="632"/>
      <c r="K14" s="632"/>
      <c r="L14" s="631"/>
      <c r="M14" s="632">
        <f>CCBASE!$I$15*B14/1000</f>
        <v>139.73029875</v>
      </c>
      <c r="N14" s="632"/>
      <c r="O14" s="632"/>
      <c r="P14" s="632">
        <f>CCBASE!$I$10</f>
        <v>30.661922000000001</v>
      </c>
      <c r="Q14" s="632">
        <f>CCBASE!$I$51</f>
        <v>2.9</v>
      </c>
      <c r="R14" s="632">
        <f>CCBASE!$I$4</f>
        <v>8.3986041999999994</v>
      </c>
      <c r="S14" s="632">
        <f>CCBASE!$I$8</f>
        <v>16.25526</v>
      </c>
      <c r="T14" s="631"/>
      <c r="U14" s="632"/>
      <c r="V14" s="632"/>
      <c r="W14" s="632">
        <f>CCBASE!$I$40*B14/1000</f>
        <v>72.289069999999995</v>
      </c>
      <c r="X14" s="632"/>
      <c r="Y14" s="632"/>
      <c r="Z14" s="632"/>
      <c r="AA14" s="632"/>
      <c r="AB14" s="632"/>
      <c r="AC14" s="632"/>
      <c r="AD14" s="632">
        <f>CCBASE!$I$32*2</f>
        <v>108.826984</v>
      </c>
      <c r="AI14" s="634"/>
      <c r="AJ14" s="634"/>
      <c r="AK14" s="635"/>
      <c r="AL14" s="635"/>
      <c r="AM14" s="635"/>
      <c r="AN14" s="635"/>
      <c r="AO14" s="635"/>
      <c r="AP14" s="635"/>
      <c r="AQ14" s="635"/>
      <c r="AR14" s="635"/>
      <c r="AS14" s="635"/>
    </row>
    <row r="15" spans="1:46" x14ac:dyDescent="0.2">
      <c r="A15" s="630" t="s">
        <v>187</v>
      </c>
      <c r="B15" s="630">
        <v>2000</v>
      </c>
      <c r="C15" s="630">
        <v>1250</v>
      </c>
      <c r="D15" s="630" t="str">
        <f t="shared" ref="D15" si="7">$A15&amp;B15&amp;C15</f>
        <v>UVX20001250</v>
      </c>
      <c r="E15" s="1046">
        <f t="shared" si="1"/>
        <v>1316.3857448999997</v>
      </c>
      <c r="F15" s="631">
        <v>16</v>
      </c>
      <c r="G15" s="632">
        <f>F15*CCBASE!$B$51</f>
        <v>576</v>
      </c>
      <c r="H15" s="632">
        <f>CCBASE!$I$11*B15/1000</f>
        <v>321.98592439999999</v>
      </c>
      <c r="I15" s="632"/>
      <c r="J15" s="632"/>
      <c r="K15" s="632"/>
      <c r="L15" s="631"/>
      <c r="M15" s="632">
        <f>CCBASE!$I$15*B15/1000</f>
        <v>159.69177000000002</v>
      </c>
      <c r="N15" s="632"/>
      <c r="O15" s="632"/>
      <c r="P15" s="632">
        <f>CCBASE!$I$9</f>
        <v>39.7111223</v>
      </c>
      <c r="Q15" s="632">
        <f>CCBASE!$I$51</f>
        <v>2.9</v>
      </c>
      <c r="R15" s="632">
        <f>CCBASE!$I$4</f>
        <v>8.3986041999999994</v>
      </c>
      <c r="S15" s="632">
        <f>CCBASE!$I$8</f>
        <v>16.25526</v>
      </c>
      <c r="T15" s="631"/>
      <c r="U15" s="632"/>
      <c r="V15" s="632"/>
      <c r="W15" s="632">
        <f>CCBASE!$I$40*B15/1000</f>
        <v>82.616079999999997</v>
      </c>
      <c r="X15" s="632"/>
      <c r="Y15" s="632"/>
      <c r="Z15" s="632"/>
      <c r="AA15" s="632"/>
      <c r="AB15" s="632"/>
      <c r="AC15" s="632"/>
      <c r="AD15" s="632">
        <f>CCBASE!$I$32*2</f>
        <v>108.826984</v>
      </c>
      <c r="AI15" s="634"/>
      <c r="AJ15" s="634"/>
      <c r="AN15" s="635"/>
      <c r="AO15" s="635"/>
      <c r="AP15" s="635"/>
      <c r="AQ15" s="635"/>
      <c r="AR15" s="635"/>
      <c r="AS15" s="635"/>
    </row>
    <row r="16" spans="1:46" x14ac:dyDescent="0.2">
      <c r="A16" s="630" t="s">
        <v>187</v>
      </c>
      <c r="B16" s="630">
        <v>2250</v>
      </c>
      <c r="C16" s="630">
        <v>1250</v>
      </c>
      <c r="D16" s="630" t="str">
        <f t="shared" si="3"/>
        <v>UVX22501250</v>
      </c>
      <c r="E16" s="1046">
        <f t="shared" si="1"/>
        <v>1386.9224666999999</v>
      </c>
      <c r="F16" s="631">
        <v>16</v>
      </c>
      <c r="G16" s="632">
        <f>F16*CCBASE!$B$51</f>
        <v>576</v>
      </c>
      <c r="H16" s="632">
        <f>CCBASE!$I$11*B16/1000</f>
        <v>362.23416494999998</v>
      </c>
      <c r="I16" s="632"/>
      <c r="J16" s="632"/>
      <c r="K16" s="632"/>
      <c r="L16" s="631"/>
      <c r="M16" s="632">
        <f>CCBASE!$I$15*B16/1000</f>
        <v>179.65324125000001</v>
      </c>
      <c r="N16" s="632"/>
      <c r="O16" s="632"/>
      <c r="P16" s="632">
        <f>CCBASE!$I$9</f>
        <v>39.7111223</v>
      </c>
      <c r="Q16" s="632">
        <f>CCBASE!$I$51</f>
        <v>2.9</v>
      </c>
      <c r="R16" s="632">
        <f>CCBASE!$I$4</f>
        <v>8.3986041999999994</v>
      </c>
      <c r="S16" s="632">
        <f>CCBASE!$I$8</f>
        <v>16.25526</v>
      </c>
      <c r="T16" s="631"/>
      <c r="U16" s="632"/>
      <c r="V16" s="632"/>
      <c r="W16" s="632">
        <f>CCBASE!$I$40*B16/1000</f>
        <v>92.943089999999998</v>
      </c>
      <c r="X16" s="632"/>
      <c r="Y16" s="632"/>
      <c r="Z16" s="632"/>
      <c r="AA16" s="632"/>
      <c r="AB16" s="632"/>
      <c r="AC16" s="632"/>
      <c r="AD16" s="632">
        <f>CCBASE!$I$32*2</f>
        <v>108.826984</v>
      </c>
      <c r="AI16" s="634"/>
      <c r="AJ16" s="634"/>
      <c r="AN16" s="635"/>
      <c r="AO16" s="635"/>
      <c r="AP16" s="635"/>
      <c r="AQ16" s="635"/>
      <c r="AR16" s="635"/>
      <c r="AS16" s="635"/>
    </row>
    <row r="17" spans="1:45" x14ac:dyDescent="0.2">
      <c r="A17" s="630" t="s">
        <v>187</v>
      </c>
      <c r="B17" s="630">
        <v>2500</v>
      </c>
      <c r="C17" s="630">
        <v>1250</v>
      </c>
      <c r="D17" s="630" t="str">
        <f t="shared" ref="D17" si="8">$A17&amp;B17&amp;C17</f>
        <v>UVX25001250</v>
      </c>
      <c r="E17" s="1046">
        <f t="shared" si="1"/>
        <v>1529.4591884999998</v>
      </c>
      <c r="F17" s="631">
        <v>18</v>
      </c>
      <c r="G17" s="632">
        <f>F17*CCBASE!$B$51</f>
        <v>648</v>
      </c>
      <c r="H17" s="632">
        <f>CCBASE!$I$11*B17/1000</f>
        <v>402.48240549999997</v>
      </c>
      <c r="I17" s="632"/>
      <c r="J17" s="632"/>
      <c r="K17" s="632"/>
      <c r="L17" s="631"/>
      <c r="M17" s="632">
        <f>CCBASE!$I$15*B17/1000</f>
        <v>199.61471250000002</v>
      </c>
      <c r="N17" s="632"/>
      <c r="O17" s="632"/>
      <c r="P17" s="632">
        <f>CCBASE!$I$9</f>
        <v>39.7111223</v>
      </c>
      <c r="Q17" s="632">
        <f>CCBASE!$I$51</f>
        <v>2.9</v>
      </c>
      <c r="R17" s="632">
        <f>CCBASE!$I$4</f>
        <v>8.3986041999999994</v>
      </c>
      <c r="S17" s="632">
        <f>CCBASE!$I$8</f>
        <v>16.25526</v>
      </c>
      <c r="T17" s="631"/>
      <c r="U17" s="632"/>
      <c r="V17" s="632"/>
      <c r="W17" s="632">
        <f>CCBASE!$I$40*B17/1000</f>
        <v>103.27009999999999</v>
      </c>
      <c r="X17" s="632"/>
      <c r="Y17" s="632"/>
      <c r="Z17" s="632"/>
      <c r="AA17" s="632"/>
      <c r="AB17" s="632"/>
      <c r="AC17" s="632"/>
      <c r="AD17" s="632">
        <f>CCBASE!$I$32*2</f>
        <v>108.826984</v>
      </c>
      <c r="AI17" s="634"/>
      <c r="AJ17" s="634"/>
      <c r="AN17" s="635"/>
      <c r="AO17" s="635"/>
      <c r="AP17" s="635"/>
      <c r="AQ17" s="635"/>
      <c r="AR17" s="635"/>
      <c r="AS17" s="635"/>
    </row>
    <row r="18" spans="1:45" x14ac:dyDescent="0.2">
      <c r="A18" s="630" t="s">
        <v>187</v>
      </c>
      <c r="B18" s="630">
        <v>2750</v>
      </c>
      <c r="C18" s="630">
        <v>1250</v>
      </c>
      <c r="D18" s="630" t="str">
        <f t="shared" si="3"/>
        <v>UVX27501250</v>
      </c>
      <c r="E18" s="1046">
        <f t="shared" si="1"/>
        <v>1599.9959102999997</v>
      </c>
      <c r="F18" s="631">
        <v>18</v>
      </c>
      <c r="G18" s="632">
        <f>F18*CCBASE!$B$51</f>
        <v>648</v>
      </c>
      <c r="H18" s="632">
        <f>CCBASE!$I$11*B18/1000</f>
        <v>442.73064604999996</v>
      </c>
      <c r="I18" s="632"/>
      <c r="J18" s="632"/>
      <c r="K18" s="632"/>
      <c r="L18" s="631"/>
      <c r="M18" s="632">
        <f>CCBASE!$I$15*B18/1000</f>
        <v>219.57618375000001</v>
      </c>
      <c r="N18" s="632"/>
      <c r="O18" s="632"/>
      <c r="P18" s="632">
        <f>CCBASE!$I$9</f>
        <v>39.7111223</v>
      </c>
      <c r="Q18" s="632">
        <f>CCBASE!$I$51</f>
        <v>2.9</v>
      </c>
      <c r="R18" s="632">
        <f>CCBASE!$I$4</f>
        <v>8.3986041999999994</v>
      </c>
      <c r="S18" s="632">
        <f>CCBASE!$I$8</f>
        <v>16.25526</v>
      </c>
      <c r="T18" s="631"/>
      <c r="U18" s="632"/>
      <c r="V18" s="632"/>
      <c r="W18" s="632">
        <f>CCBASE!$I$40*B18/1000</f>
        <v>113.59711</v>
      </c>
      <c r="X18" s="632"/>
      <c r="Y18" s="632"/>
      <c r="Z18" s="632"/>
      <c r="AA18" s="632"/>
      <c r="AB18" s="632"/>
      <c r="AC18" s="632"/>
      <c r="AD18" s="632">
        <f>CCBASE!$I$32*2</f>
        <v>108.826984</v>
      </c>
      <c r="AI18" s="634"/>
      <c r="AJ18" s="634"/>
      <c r="AN18" s="635"/>
      <c r="AO18" s="635"/>
      <c r="AP18" s="635"/>
      <c r="AQ18" s="635"/>
      <c r="AR18" s="635"/>
      <c r="AS18" s="635"/>
    </row>
    <row r="19" spans="1:45" x14ac:dyDescent="0.2">
      <c r="A19" s="630" t="s">
        <v>187</v>
      </c>
      <c r="B19" s="630">
        <v>3000</v>
      </c>
      <c r="C19" s="630">
        <v>1250</v>
      </c>
      <c r="D19" s="630" t="str">
        <f t="shared" ref="D19" si="9">$A19&amp;B19&amp;C19</f>
        <v>UVX30001250</v>
      </c>
      <c r="E19" s="1046">
        <f t="shared" si="1"/>
        <v>1670.5326320999998</v>
      </c>
      <c r="F19" s="631">
        <v>18</v>
      </c>
      <c r="G19" s="632">
        <f>F19*CCBASE!$B$51</f>
        <v>648</v>
      </c>
      <c r="H19" s="632">
        <f>CCBASE!$I$11*B19/1000</f>
        <v>482.97888659999995</v>
      </c>
      <c r="I19" s="632"/>
      <c r="J19" s="632"/>
      <c r="K19" s="632"/>
      <c r="L19" s="631"/>
      <c r="M19" s="632">
        <f>CCBASE!$I$15*B19/1000</f>
        <v>239.53765500000003</v>
      </c>
      <c r="N19" s="632"/>
      <c r="O19" s="632"/>
      <c r="P19" s="632">
        <f>CCBASE!$I$9</f>
        <v>39.7111223</v>
      </c>
      <c r="Q19" s="632">
        <f>CCBASE!$I$51</f>
        <v>2.9</v>
      </c>
      <c r="R19" s="632">
        <f>CCBASE!$I$4</f>
        <v>8.3986041999999994</v>
      </c>
      <c r="S19" s="632">
        <f>CCBASE!$I$8</f>
        <v>16.25526</v>
      </c>
      <c r="T19" s="631"/>
      <c r="U19" s="632"/>
      <c r="V19" s="632"/>
      <c r="W19" s="632">
        <f>CCBASE!$I$40*B19/1000</f>
        <v>123.92412</v>
      </c>
      <c r="X19" s="632"/>
      <c r="Y19" s="632"/>
      <c r="Z19" s="632"/>
      <c r="AA19" s="632"/>
      <c r="AB19" s="632"/>
      <c r="AC19" s="632"/>
      <c r="AD19" s="632">
        <f>CCBASE!$I$32*2</f>
        <v>108.826984</v>
      </c>
      <c r="AI19" s="634"/>
      <c r="AJ19" s="634"/>
      <c r="AN19" s="635"/>
      <c r="AO19" s="635"/>
      <c r="AP19" s="635"/>
      <c r="AQ19" s="635"/>
      <c r="AR19" s="635"/>
      <c r="AS19" s="635"/>
    </row>
    <row r="20" spans="1:45" x14ac:dyDescent="0.2">
      <c r="A20" s="630" t="s">
        <v>187</v>
      </c>
      <c r="B20" s="630">
        <v>1000</v>
      </c>
      <c r="C20" s="630">
        <v>1500</v>
      </c>
      <c r="D20" s="630" t="str">
        <f t="shared" si="3"/>
        <v>UVX10001500</v>
      </c>
      <c r="E20" s="1046">
        <f t="shared" si="1"/>
        <v>1070.1399333999998</v>
      </c>
      <c r="F20" s="631">
        <v>16</v>
      </c>
      <c r="G20" s="632">
        <f>F20*CCBASE!$B$51</f>
        <v>576</v>
      </c>
      <c r="H20" s="632">
        <f>CCBASE!$I$11*B20/1000</f>
        <v>160.99296219999999</v>
      </c>
      <c r="I20" s="632"/>
      <c r="J20" s="632"/>
      <c r="K20" s="632"/>
      <c r="L20" s="631"/>
      <c r="M20" s="632">
        <f>CCBASE!$I$15*B20/1000</f>
        <v>79.84588500000001</v>
      </c>
      <c r="N20" s="632"/>
      <c r="O20" s="632"/>
      <c r="P20" s="632">
        <f>CCBASE!$I$10</f>
        <v>30.661922000000001</v>
      </c>
      <c r="Q20" s="632">
        <f>CCBASE!$I$51</f>
        <v>2.9</v>
      </c>
      <c r="R20" s="632">
        <f>CCBASE!$I$4</f>
        <v>8.3986041999999994</v>
      </c>
      <c r="S20" s="632">
        <f>CCBASE!$I$8</f>
        <v>16.25526</v>
      </c>
      <c r="T20" s="631"/>
      <c r="U20" s="632"/>
      <c r="V20" s="632"/>
      <c r="W20" s="632">
        <f>CCBASE!$I$41*B20/1000</f>
        <v>59.051569999999998</v>
      </c>
      <c r="X20" s="632"/>
      <c r="Y20" s="632"/>
      <c r="Z20" s="632"/>
      <c r="AA20" s="632"/>
      <c r="AB20" s="632"/>
      <c r="AC20" s="632"/>
      <c r="AD20" s="632">
        <f>CCBASE!$I$33*2</f>
        <v>136.03372999999999</v>
      </c>
      <c r="AI20" s="634"/>
      <c r="AJ20" s="634"/>
      <c r="AN20" s="635"/>
      <c r="AO20" s="635"/>
      <c r="AP20" s="635"/>
      <c r="AQ20" s="635"/>
      <c r="AR20" s="635"/>
      <c r="AS20" s="635"/>
    </row>
    <row r="21" spans="1:45" x14ac:dyDescent="0.2">
      <c r="A21" s="630" t="s">
        <v>187</v>
      </c>
      <c r="B21" s="630">
        <v>1250</v>
      </c>
      <c r="C21" s="630">
        <v>1500</v>
      </c>
      <c r="D21" s="630" t="str">
        <f t="shared" si="3"/>
        <v>UVX12501500</v>
      </c>
      <c r="E21" s="1046">
        <f t="shared" si="1"/>
        <v>1145.1125376999998</v>
      </c>
      <c r="F21" s="631">
        <v>16</v>
      </c>
      <c r="G21" s="632">
        <f>F21*CCBASE!$B$51</f>
        <v>576</v>
      </c>
      <c r="H21" s="632">
        <f>CCBASE!$I$11*B21/1000</f>
        <v>201.24120274999999</v>
      </c>
      <c r="I21" s="632"/>
      <c r="J21" s="632"/>
      <c r="K21" s="632"/>
      <c r="L21" s="631"/>
      <c r="M21" s="632">
        <f>CCBASE!$I$15*B21/1000</f>
        <v>99.807356250000012</v>
      </c>
      <c r="N21" s="632"/>
      <c r="O21" s="632"/>
      <c r="P21" s="632">
        <f>CCBASE!$I$10</f>
        <v>30.661922000000001</v>
      </c>
      <c r="Q21" s="632">
        <f>CCBASE!$I$51</f>
        <v>2.9</v>
      </c>
      <c r="R21" s="632">
        <f>CCBASE!$I$4</f>
        <v>8.3986041999999994</v>
      </c>
      <c r="S21" s="632">
        <f>CCBASE!$I$8</f>
        <v>16.25526</v>
      </c>
      <c r="T21" s="631"/>
      <c r="U21" s="632"/>
      <c r="V21" s="632"/>
      <c r="W21" s="632">
        <f>CCBASE!$I$41*B21/1000</f>
        <v>73.814462499999991</v>
      </c>
      <c r="X21" s="632"/>
      <c r="Y21" s="632"/>
      <c r="Z21" s="632"/>
      <c r="AA21" s="632"/>
      <c r="AB21" s="632"/>
      <c r="AC21" s="632"/>
      <c r="AD21" s="632">
        <f>CCBASE!$I$33*2</f>
        <v>136.03372999999999</v>
      </c>
      <c r="AI21" s="634"/>
      <c r="AJ21" s="634"/>
      <c r="AK21" s="635"/>
      <c r="AL21" s="635"/>
      <c r="AM21" s="635"/>
      <c r="AN21" s="635"/>
      <c r="AO21" s="635"/>
      <c r="AP21" s="635"/>
      <c r="AQ21" s="635"/>
      <c r="AR21" s="635"/>
      <c r="AS21" s="635"/>
    </row>
    <row r="22" spans="1:45" x14ac:dyDescent="0.2">
      <c r="A22" s="630" t="s">
        <v>187</v>
      </c>
      <c r="B22" s="630">
        <v>1500</v>
      </c>
      <c r="C22" s="630">
        <v>1500</v>
      </c>
      <c r="D22" s="630" t="str">
        <f t="shared" ref="D22" si="10">$A22&amp;B22&amp;C22</f>
        <v>UVX15001500</v>
      </c>
      <c r="E22" s="1046">
        <f t="shared" si="1"/>
        <v>1220.0851419999999</v>
      </c>
      <c r="F22" s="631">
        <v>16</v>
      </c>
      <c r="G22" s="632">
        <f>F22*CCBASE!$B$51</f>
        <v>576</v>
      </c>
      <c r="H22" s="632">
        <f>CCBASE!$I$11*B22/1000</f>
        <v>241.48944329999998</v>
      </c>
      <c r="I22" s="632"/>
      <c r="J22" s="632"/>
      <c r="K22" s="632"/>
      <c r="L22" s="631"/>
      <c r="M22" s="632">
        <f>CCBASE!$I$15*B22/1000</f>
        <v>119.76882750000001</v>
      </c>
      <c r="N22" s="632"/>
      <c r="O22" s="632"/>
      <c r="P22" s="632">
        <f>CCBASE!$I$10</f>
        <v>30.661922000000001</v>
      </c>
      <c r="Q22" s="632">
        <f>CCBASE!$I$51</f>
        <v>2.9</v>
      </c>
      <c r="R22" s="632">
        <f>CCBASE!$I$4</f>
        <v>8.3986041999999994</v>
      </c>
      <c r="S22" s="632">
        <f>CCBASE!$I$8</f>
        <v>16.25526</v>
      </c>
      <c r="T22" s="631"/>
      <c r="U22" s="632"/>
      <c r="V22" s="632"/>
      <c r="W22" s="632">
        <f>CCBASE!$I$41*B22/1000</f>
        <v>88.577354999999997</v>
      </c>
      <c r="X22" s="632"/>
      <c r="Y22" s="632"/>
      <c r="Z22" s="632"/>
      <c r="AA22" s="632"/>
      <c r="AB22" s="632"/>
      <c r="AC22" s="632"/>
      <c r="AD22" s="632">
        <f>CCBASE!$I$33*2</f>
        <v>136.03372999999999</v>
      </c>
      <c r="AI22" s="634"/>
      <c r="AJ22" s="634"/>
      <c r="AK22" s="635"/>
      <c r="AL22" s="635"/>
      <c r="AM22" s="635"/>
      <c r="AN22" s="635"/>
      <c r="AO22" s="635"/>
      <c r="AP22" s="635"/>
      <c r="AQ22" s="635"/>
      <c r="AR22" s="635"/>
      <c r="AS22" s="635"/>
    </row>
    <row r="23" spans="1:45" x14ac:dyDescent="0.2">
      <c r="A23" s="630" t="s">
        <v>187</v>
      </c>
      <c r="B23" s="630">
        <v>1750</v>
      </c>
      <c r="C23" s="630">
        <v>1500</v>
      </c>
      <c r="D23" s="630" t="str">
        <f t="shared" si="3"/>
        <v>UVX17501500</v>
      </c>
      <c r="E23" s="1046">
        <f t="shared" si="1"/>
        <v>1295.0577463</v>
      </c>
      <c r="F23" s="631">
        <v>16</v>
      </c>
      <c r="G23" s="632">
        <f>F23*CCBASE!$B$51</f>
        <v>576</v>
      </c>
      <c r="H23" s="632">
        <f>CCBASE!$I$11*B23/1000</f>
        <v>281.73768385</v>
      </c>
      <c r="I23" s="632"/>
      <c r="J23" s="632"/>
      <c r="K23" s="632"/>
      <c r="L23" s="631"/>
      <c r="M23" s="632">
        <f>CCBASE!$I$15*B23/1000</f>
        <v>139.73029875</v>
      </c>
      <c r="N23" s="632"/>
      <c r="O23" s="632"/>
      <c r="P23" s="632">
        <f>CCBASE!$I$10</f>
        <v>30.661922000000001</v>
      </c>
      <c r="Q23" s="632">
        <f>CCBASE!$I$51</f>
        <v>2.9</v>
      </c>
      <c r="R23" s="632">
        <f>CCBASE!$I$4</f>
        <v>8.3986041999999994</v>
      </c>
      <c r="S23" s="632">
        <f>CCBASE!$I$8</f>
        <v>16.25526</v>
      </c>
      <c r="T23" s="631"/>
      <c r="U23" s="632"/>
      <c r="V23" s="632"/>
      <c r="W23" s="632">
        <f>CCBASE!$I$41*B23/1000</f>
        <v>103.3402475</v>
      </c>
      <c r="X23" s="632"/>
      <c r="Y23" s="632"/>
      <c r="Z23" s="632"/>
      <c r="AA23" s="632"/>
      <c r="AB23" s="632"/>
      <c r="AC23" s="632"/>
      <c r="AD23" s="632">
        <f>CCBASE!$I$33*2</f>
        <v>136.03372999999999</v>
      </c>
      <c r="AI23" s="634"/>
      <c r="AJ23" s="634"/>
      <c r="AK23" s="635"/>
      <c r="AL23" s="635"/>
      <c r="AM23" s="635"/>
      <c r="AN23" s="635"/>
      <c r="AO23" s="635"/>
      <c r="AP23" s="635"/>
      <c r="AQ23" s="635"/>
      <c r="AR23" s="635"/>
      <c r="AS23" s="635"/>
    </row>
    <row r="24" spans="1:45" x14ac:dyDescent="0.2">
      <c r="A24" s="630" t="s">
        <v>187</v>
      </c>
      <c r="B24" s="630">
        <v>2000</v>
      </c>
      <c r="C24" s="630">
        <v>1500</v>
      </c>
      <c r="D24" s="630" t="str">
        <f t="shared" si="3"/>
        <v>UVX20001500</v>
      </c>
      <c r="E24" s="1046">
        <f t="shared" si="1"/>
        <v>1379.0795508999995</v>
      </c>
      <c r="F24" s="631">
        <v>16</v>
      </c>
      <c r="G24" s="632">
        <f>F24*CCBASE!$B$51</f>
        <v>576</v>
      </c>
      <c r="H24" s="632">
        <f>CCBASE!$I$11*B24/1000</f>
        <v>321.98592439999999</v>
      </c>
      <c r="I24" s="632"/>
      <c r="J24" s="632"/>
      <c r="K24" s="632"/>
      <c r="L24" s="631"/>
      <c r="M24" s="632">
        <f>CCBASE!$I$15*B24/1000</f>
        <v>159.69177000000002</v>
      </c>
      <c r="N24" s="632"/>
      <c r="O24" s="632"/>
      <c r="P24" s="632">
        <f>CCBASE!$I$9</f>
        <v>39.7111223</v>
      </c>
      <c r="Q24" s="632">
        <f>CCBASE!$I$51</f>
        <v>2.9</v>
      </c>
      <c r="R24" s="632">
        <f>CCBASE!$I$4</f>
        <v>8.3986041999999994</v>
      </c>
      <c r="S24" s="632">
        <f>CCBASE!$I$8</f>
        <v>16.25526</v>
      </c>
      <c r="T24" s="631"/>
      <c r="U24" s="632"/>
      <c r="V24" s="632"/>
      <c r="W24" s="632">
        <f>CCBASE!$I$41*B24/1000</f>
        <v>118.10314</v>
      </c>
      <c r="X24" s="632"/>
      <c r="Y24" s="632"/>
      <c r="Z24" s="632"/>
      <c r="AA24" s="632"/>
      <c r="AB24" s="632"/>
      <c r="AC24" s="632"/>
      <c r="AD24" s="632">
        <f>CCBASE!$I$33*2</f>
        <v>136.03372999999999</v>
      </c>
      <c r="AI24" s="634"/>
      <c r="AJ24" s="634"/>
      <c r="AK24" s="635"/>
      <c r="AL24" s="635"/>
      <c r="AM24" s="635"/>
      <c r="AN24" s="635"/>
      <c r="AO24" s="635"/>
      <c r="AP24" s="635"/>
      <c r="AQ24" s="635"/>
      <c r="AR24" s="635"/>
      <c r="AS24" s="635"/>
    </row>
    <row r="25" spans="1:45" x14ac:dyDescent="0.2">
      <c r="A25" s="630" t="s">
        <v>187</v>
      </c>
      <c r="B25" s="630">
        <v>2250</v>
      </c>
      <c r="C25" s="630">
        <v>1500</v>
      </c>
      <c r="D25" s="630" t="str">
        <f t="shared" ref="D25" si="11">$A25&amp;B25&amp;C25</f>
        <v>UVX22501500</v>
      </c>
      <c r="E25" s="1046">
        <f t="shared" si="1"/>
        <v>1526.0521552</v>
      </c>
      <c r="F25" s="631">
        <v>18</v>
      </c>
      <c r="G25" s="632">
        <f>F25*CCBASE!$B$51</f>
        <v>648</v>
      </c>
      <c r="H25" s="632">
        <f>CCBASE!$I$11*B25/1000</f>
        <v>362.23416494999998</v>
      </c>
      <c r="I25" s="632"/>
      <c r="J25" s="632"/>
      <c r="K25" s="632"/>
      <c r="L25" s="631"/>
      <c r="M25" s="632">
        <f>CCBASE!$I$15*B25/1000</f>
        <v>179.65324125000001</v>
      </c>
      <c r="N25" s="632"/>
      <c r="O25" s="632"/>
      <c r="P25" s="632">
        <f>CCBASE!$I$9</f>
        <v>39.7111223</v>
      </c>
      <c r="Q25" s="632">
        <f>CCBASE!$I$51</f>
        <v>2.9</v>
      </c>
      <c r="R25" s="632">
        <f>CCBASE!$I$4</f>
        <v>8.3986041999999994</v>
      </c>
      <c r="S25" s="632">
        <f>CCBASE!$I$8</f>
        <v>16.25526</v>
      </c>
      <c r="T25" s="631"/>
      <c r="U25" s="632"/>
      <c r="V25" s="632"/>
      <c r="W25" s="632">
        <f>CCBASE!$I$41*B25/1000</f>
        <v>132.86603249999999</v>
      </c>
      <c r="X25" s="632"/>
      <c r="Y25" s="632"/>
      <c r="Z25" s="632"/>
      <c r="AA25" s="632"/>
      <c r="AB25" s="632"/>
      <c r="AC25" s="632"/>
      <c r="AD25" s="632">
        <f>CCBASE!$I$33*2</f>
        <v>136.03372999999999</v>
      </c>
      <c r="AI25" s="634"/>
      <c r="AJ25" s="634"/>
      <c r="AK25" s="635"/>
      <c r="AL25" s="635"/>
      <c r="AM25" s="635"/>
      <c r="AN25" s="635"/>
      <c r="AO25" s="635"/>
      <c r="AP25" s="635"/>
      <c r="AQ25" s="635"/>
      <c r="AR25" s="635"/>
      <c r="AS25" s="635"/>
    </row>
    <row r="26" spans="1:45" x14ac:dyDescent="0.2">
      <c r="A26" s="630" t="s">
        <v>187</v>
      </c>
      <c r="B26" s="630">
        <v>2500</v>
      </c>
      <c r="C26" s="630">
        <v>1500</v>
      </c>
      <c r="D26" s="630" t="str">
        <f t="shared" si="3"/>
        <v>UVX25001500</v>
      </c>
      <c r="E26" s="1046">
        <f t="shared" si="1"/>
        <v>1601.0247594999996</v>
      </c>
      <c r="F26" s="631">
        <v>18</v>
      </c>
      <c r="G26" s="632">
        <f>F26*CCBASE!$B$51</f>
        <v>648</v>
      </c>
      <c r="H26" s="632">
        <f>CCBASE!$I$11*B26/1000</f>
        <v>402.48240549999997</v>
      </c>
      <c r="I26" s="632"/>
      <c r="J26" s="632"/>
      <c r="K26" s="632"/>
      <c r="L26" s="631"/>
      <c r="M26" s="632">
        <f>CCBASE!$I$15*B26/1000</f>
        <v>199.61471250000002</v>
      </c>
      <c r="N26" s="632"/>
      <c r="O26" s="632"/>
      <c r="P26" s="632">
        <f>CCBASE!$I$9</f>
        <v>39.7111223</v>
      </c>
      <c r="Q26" s="632">
        <f>CCBASE!$I$51</f>
        <v>2.9</v>
      </c>
      <c r="R26" s="632">
        <f>CCBASE!$I$4</f>
        <v>8.3986041999999994</v>
      </c>
      <c r="S26" s="632">
        <f>CCBASE!$I$8</f>
        <v>16.25526</v>
      </c>
      <c r="T26" s="631"/>
      <c r="U26" s="632"/>
      <c r="V26" s="632"/>
      <c r="W26" s="632">
        <f>CCBASE!$I$41*B26/1000</f>
        <v>147.62892499999998</v>
      </c>
      <c r="X26" s="632"/>
      <c r="Y26" s="632"/>
      <c r="Z26" s="632"/>
      <c r="AA26" s="632"/>
      <c r="AB26" s="632"/>
      <c r="AC26" s="632"/>
      <c r="AD26" s="632">
        <f>CCBASE!$I$33*2</f>
        <v>136.03372999999999</v>
      </c>
      <c r="AI26" s="634"/>
      <c r="AJ26" s="634"/>
      <c r="AK26" s="635"/>
      <c r="AL26" s="635"/>
      <c r="AM26" s="635"/>
      <c r="AN26" s="635"/>
      <c r="AO26" s="635"/>
      <c r="AP26" s="635"/>
      <c r="AQ26" s="635"/>
      <c r="AR26" s="635"/>
      <c r="AS26" s="635"/>
    </row>
    <row r="27" spans="1:45" x14ac:dyDescent="0.2">
      <c r="A27" s="630" t="s">
        <v>187</v>
      </c>
      <c r="B27" s="630">
        <v>2750</v>
      </c>
      <c r="C27" s="630">
        <v>1500</v>
      </c>
      <c r="D27" s="630" t="str">
        <f t="shared" ref="D27" si="12">$A27&amp;B27&amp;C27</f>
        <v>UVX27501500</v>
      </c>
      <c r="E27" s="1046">
        <f t="shared" si="1"/>
        <v>1675.9973637999997</v>
      </c>
      <c r="F27" s="631">
        <v>18</v>
      </c>
      <c r="G27" s="632">
        <f>F27*CCBASE!$B$51</f>
        <v>648</v>
      </c>
      <c r="H27" s="632">
        <f>CCBASE!$I$11*B27/1000</f>
        <v>442.73064604999996</v>
      </c>
      <c r="I27" s="632"/>
      <c r="J27" s="632"/>
      <c r="K27" s="632"/>
      <c r="L27" s="631"/>
      <c r="M27" s="632">
        <f>CCBASE!$I$15*B27/1000</f>
        <v>219.57618375000001</v>
      </c>
      <c r="N27" s="632"/>
      <c r="O27" s="632"/>
      <c r="P27" s="632">
        <f>CCBASE!$I$9</f>
        <v>39.7111223</v>
      </c>
      <c r="Q27" s="632">
        <f>CCBASE!$I$51</f>
        <v>2.9</v>
      </c>
      <c r="R27" s="632">
        <f>CCBASE!$I$4</f>
        <v>8.3986041999999994</v>
      </c>
      <c r="S27" s="632">
        <f>CCBASE!$I$8</f>
        <v>16.25526</v>
      </c>
      <c r="T27" s="631"/>
      <c r="U27" s="632"/>
      <c r="V27" s="632"/>
      <c r="W27" s="632">
        <f>CCBASE!$I$41*B27/1000</f>
        <v>162.3918175</v>
      </c>
      <c r="X27" s="632"/>
      <c r="Y27" s="632"/>
      <c r="Z27" s="632"/>
      <c r="AA27" s="632"/>
      <c r="AB27" s="632"/>
      <c r="AC27" s="632"/>
      <c r="AD27" s="632">
        <f>CCBASE!$I$33*2</f>
        <v>136.03372999999999</v>
      </c>
      <c r="AI27" s="634"/>
      <c r="AJ27" s="634"/>
      <c r="AN27" s="635"/>
      <c r="AO27" s="635"/>
      <c r="AP27" s="635"/>
      <c r="AQ27" s="635"/>
      <c r="AR27" s="635"/>
      <c r="AS27" s="635"/>
    </row>
    <row r="28" spans="1:45" x14ac:dyDescent="0.2">
      <c r="A28" s="630" t="s">
        <v>187</v>
      </c>
      <c r="B28" s="630">
        <v>3000</v>
      </c>
      <c r="C28" s="630">
        <v>1500</v>
      </c>
      <c r="D28" s="630" t="str">
        <f t="shared" si="3"/>
        <v>UVX30001500</v>
      </c>
      <c r="E28" s="1046">
        <f t="shared" si="1"/>
        <v>1750.9699680999997</v>
      </c>
      <c r="F28" s="631">
        <v>18</v>
      </c>
      <c r="G28" s="632">
        <f>F28*CCBASE!$B$51</f>
        <v>648</v>
      </c>
      <c r="H28" s="632">
        <f>CCBASE!$I$11*B28/1000</f>
        <v>482.97888659999995</v>
      </c>
      <c r="I28" s="632"/>
      <c r="J28" s="632"/>
      <c r="K28" s="632"/>
      <c r="L28" s="631"/>
      <c r="M28" s="632">
        <f>CCBASE!$I$15*B28/1000</f>
        <v>239.53765500000003</v>
      </c>
      <c r="N28" s="632"/>
      <c r="O28" s="632"/>
      <c r="P28" s="632">
        <f>CCBASE!$I$9</f>
        <v>39.7111223</v>
      </c>
      <c r="Q28" s="632">
        <f>CCBASE!$I$51</f>
        <v>2.9</v>
      </c>
      <c r="R28" s="632">
        <f>CCBASE!$I$4</f>
        <v>8.3986041999999994</v>
      </c>
      <c r="S28" s="632">
        <f>CCBASE!$I$8</f>
        <v>16.25526</v>
      </c>
      <c r="T28" s="631"/>
      <c r="U28" s="632"/>
      <c r="V28" s="632"/>
      <c r="W28" s="632">
        <f>CCBASE!$I$41*B28/1000</f>
        <v>177.15470999999999</v>
      </c>
      <c r="X28" s="632"/>
      <c r="Y28" s="632"/>
      <c r="Z28" s="632"/>
      <c r="AA28" s="632"/>
      <c r="AB28" s="632"/>
      <c r="AC28" s="632"/>
      <c r="AD28" s="632">
        <f>CCBASE!$I$33*2</f>
        <v>136.03372999999999</v>
      </c>
      <c r="AI28" s="634"/>
      <c r="AJ28" s="634"/>
      <c r="AN28" s="635"/>
      <c r="AO28" s="635"/>
      <c r="AP28" s="635"/>
      <c r="AQ28" s="635"/>
      <c r="AR28" s="635"/>
      <c r="AS28" s="635"/>
    </row>
    <row r="29" spans="1:45" x14ac:dyDescent="0.2">
      <c r="A29" s="630" t="s">
        <v>187</v>
      </c>
      <c r="B29" s="630">
        <v>1000</v>
      </c>
      <c r="C29" s="630">
        <v>1750</v>
      </c>
      <c r="D29" s="630" t="str">
        <f t="shared" si="3"/>
        <v>UVX10001750</v>
      </c>
      <c r="E29" s="1046">
        <f t="shared" si="1"/>
        <v>1155.3088773999998</v>
      </c>
      <c r="F29" s="631">
        <v>16</v>
      </c>
      <c r="G29" s="632">
        <f>F29*CCBASE!$B$51</f>
        <v>576</v>
      </c>
      <c r="H29" s="632">
        <f>CCBASE!$I$11*B29/1000</f>
        <v>160.99296219999999</v>
      </c>
      <c r="I29" s="632"/>
      <c r="J29" s="632"/>
      <c r="K29" s="632"/>
      <c r="L29" s="637"/>
      <c r="M29" s="632">
        <f>CCBASE!$I$15*B29/1000</f>
        <v>79.84588500000001</v>
      </c>
      <c r="N29" s="632"/>
      <c r="O29" s="632"/>
      <c r="P29" s="632">
        <f>CCBASE!$I$10</f>
        <v>30.661922000000001</v>
      </c>
      <c r="Q29" s="632">
        <f>CCBASE!$I$51</f>
        <v>2.9</v>
      </c>
      <c r="R29" s="632">
        <f>CCBASE!$I$4</f>
        <v>8.3986041999999994</v>
      </c>
      <c r="S29" s="632">
        <f>CCBASE!$I$8</f>
        <v>16.25526</v>
      </c>
      <c r="T29" s="631"/>
      <c r="U29" s="631"/>
      <c r="V29" s="631"/>
      <c r="W29" s="632">
        <f>CCBASE!$I$42*B29/1000</f>
        <v>70.880589999999998</v>
      </c>
      <c r="X29" s="632"/>
      <c r="Y29" s="632"/>
      <c r="Z29" s="632"/>
      <c r="AA29" s="632"/>
      <c r="AB29" s="632"/>
      <c r="AC29" s="632"/>
      <c r="AD29" s="632">
        <f>CCBASE!$I$34*2</f>
        <v>209.37365399999999</v>
      </c>
      <c r="AI29" s="634"/>
      <c r="AJ29" s="634"/>
      <c r="AK29" s="635"/>
      <c r="AL29" s="635"/>
      <c r="AM29" s="635"/>
      <c r="AN29" s="635"/>
      <c r="AO29" s="635"/>
      <c r="AP29" s="635"/>
      <c r="AQ29" s="635"/>
      <c r="AR29" s="635"/>
      <c r="AS29" s="635"/>
    </row>
    <row r="30" spans="1:45" x14ac:dyDescent="0.2">
      <c r="A30" s="630" t="s">
        <v>187</v>
      </c>
      <c r="B30" s="630">
        <v>1250</v>
      </c>
      <c r="C30" s="630">
        <v>1750</v>
      </c>
      <c r="D30" s="630" t="str">
        <f t="shared" ref="D30" si="13">$A30&amp;B30&amp;C30</f>
        <v>UVX12501750</v>
      </c>
      <c r="E30" s="1046">
        <f t="shared" si="1"/>
        <v>1233.2387367000001</v>
      </c>
      <c r="F30" s="631">
        <v>16</v>
      </c>
      <c r="G30" s="632">
        <f>F30*CCBASE!$B$51</f>
        <v>576</v>
      </c>
      <c r="H30" s="632">
        <f>CCBASE!$I$11*B30/1000</f>
        <v>201.24120274999999</v>
      </c>
      <c r="I30" s="632"/>
      <c r="J30" s="632"/>
      <c r="K30" s="632"/>
      <c r="L30" s="637"/>
      <c r="M30" s="632">
        <f>CCBASE!$I$15*B30/1000</f>
        <v>99.807356250000012</v>
      </c>
      <c r="N30" s="632"/>
      <c r="O30" s="632"/>
      <c r="P30" s="632">
        <f>CCBASE!$I$10</f>
        <v>30.661922000000001</v>
      </c>
      <c r="Q30" s="632">
        <f>CCBASE!$I$51</f>
        <v>2.9</v>
      </c>
      <c r="R30" s="632">
        <f>CCBASE!$I$4</f>
        <v>8.3986041999999994</v>
      </c>
      <c r="S30" s="632">
        <f>CCBASE!$I$8</f>
        <v>16.25526</v>
      </c>
      <c r="T30" s="631"/>
      <c r="U30" s="631"/>
      <c r="V30" s="631"/>
      <c r="W30" s="632">
        <f>CCBASE!$I$42*B30/1000</f>
        <v>88.600737500000008</v>
      </c>
      <c r="X30" s="632"/>
      <c r="Y30" s="632"/>
      <c r="Z30" s="632"/>
      <c r="AA30" s="632"/>
      <c r="AB30" s="632"/>
      <c r="AC30" s="632"/>
      <c r="AD30" s="632">
        <f>CCBASE!$I$34*2</f>
        <v>209.37365399999999</v>
      </c>
      <c r="AI30" s="634"/>
      <c r="AJ30" s="634"/>
      <c r="AK30" s="635"/>
      <c r="AL30" s="635"/>
      <c r="AM30" s="635"/>
      <c r="AN30" s="635"/>
      <c r="AO30" s="635"/>
      <c r="AP30" s="635"/>
      <c r="AQ30" s="635"/>
      <c r="AR30" s="635"/>
      <c r="AS30" s="635"/>
    </row>
    <row r="31" spans="1:45" x14ac:dyDescent="0.2">
      <c r="A31" s="630" t="s">
        <v>187</v>
      </c>
      <c r="B31" s="630">
        <v>1500</v>
      </c>
      <c r="C31" s="630">
        <v>1750</v>
      </c>
      <c r="D31" s="630" t="str">
        <f t="shared" si="3"/>
        <v>UVX15001750</v>
      </c>
      <c r="E31" s="1046">
        <f t="shared" si="1"/>
        <v>1311.168596</v>
      </c>
      <c r="F31" s="631">
        <v>16</v>
      </c>
      <c r="G31" s="632">
        <f>F31*CCBASE!$B$51</f>
        <v>576</v>
      </c>
      <c r="H31" s="632">
        <f>CCBASE!$I$11*B31/1000</f>
        <v>241.48944329999998</v>
      </c>
      <c r="I31" s="632"/>
      <c r="J31" s="632"/>
      <c r="K31" s="632"/>
      <c r="L31" s="637"/>
      <c r="M31" s="632">
        <f>CCBASE!$I$15*B31/1000</f>
        <v>119.76882750000001</v>
      </c>
      <c r="N31" s="632"/>
      <c r="O31" s="632"/>
      <c r="P31" s="632">
        <f>CCBASE!$I$10</f>
        <v>30.661922000000001</v>
      </c>
      <c r="Q31" s="632">
        <f>CCBASE!$I$51</f>
        <v>2.9</v>
      </c>
      <c r="R31" s="632">
        <f>CCBASE!$I$4</f>
        <v>8.3986041999999994</v>
      </c>
      <c r="S31" s="632">
        <f>CCBASE!$I$8</f>
        <v>16.25526</v>
      </c>
      <c r="T31" s="631"/>
      <c r="U31" s="631"/>
      <c r="V31" s="631"/>
      <c r="W31" s="632">
        <f>CCBASE!$I$42*B31/1000</f>
        <v>106.32088499999999</v>
      </c>
      <c r="X31" s="632"/>
      <c r="Y31" s="632"/>
      <c r="Z31" s="632"/>
      <c r="AA31" s="632"/>
      <c r="AB31" s="632"/>
      <c r="AC31" s="632"/>
      <c r="AD31" s="632">
        <f>CCBASE!$I$34*2</f>
        <v>209.37365399999999</v>
      </c>
      <c r="AI31" s="634"/>
      <c r="AJ31" s="634"/>
      <c r="AK31" s="635"/>
      <c r="AL31" s="635"/>
      <c r="AM31" s="635"/>
      <c r="AN31" s="635"/>
      <c r="AO31" s="635"/>
      <c r="AP31" s="635"/>
      <c r="AQ31" s="635"/>
      <c r="AR31" s="635"/>
      <c r="AS31" s="635"/>
    </row>
    <row r="32" spans="1:45" x14ac:dyDescent="0.2">
      <c r="A32" s="630" t="s">
        <v>187</v>
      </c>
      <c r="B32" s="630">
        <v>1750</v>
      </c>
      <c r="C32" s="630">
        <v>1750</v>
      </c>
      <c r="D32" s="630" t="str">
        <f t="shared" ref="D32" si="14">$A32&amp;B32&amp;C32</f>
        <v>UVX17501750</v>
      </c>
      <c r="E32" s="1046">
        <f t="shared" si="1"/>
        <v>1398.1476555999998</v>
      </c>
      <c r="F32" s="631">
        <v>16</v>
      </c>
      <c r="G32" s="632">
        <f>F32*CCBASE!$B$51</f>
        <v>576</v>
      </c>
      <c r="H32" s="632">
        <f>CCBASE!$I$11*B32/1000</f>
        <v>281.73768385</v>
      </c>
      <c r="I32" s="632"/>
      <c r="J32" s="632"/>
      <c r="K32" s="632"/>
      <c r="L32" s="637"/>
      <c r="M32" s="632">
        <f>CCBASE!$I$15*B32/1000</f>
        <v>139.73029875</v>
      </c>
      <c r="N32" s="632"/>
      <c r="O32" s="632"/>
      <c r="P32" s="632">
        <f>CCBASE!$I$9</f>
        <v>39.7111223</v>
      </c>
      <c r="Q32" s="632">
        <f>CCBASE!$I$51</f>
        <v>2.9</v>
      </c>
      <c r="R32" s="632">
        <f>CCBASE!$I$4</f>
        <v>8.3986041999999994</v>
      </c>
      <c r="S32" s="632">
        <f>CCBASE!$I$8</f>
        <v>16.25526</v>
      </c>
      <c r="T32" s="631"/>
      <c r="U32" s="631"/>
      <c r="V32" s="631"/>
      <c r="W32" s="632">
        <f>CCBASE!$I$42*B32/1000</f>
        <v>124.0410325</v>
      </c>
      <c r="X32" s="632"/>
      <c r="Y32" s="632"/>
      <c r="Z32" s="632"/>
      <c r="AA32" s="632"/>
      <c r="AB32" s="632"/>
      <c r="AC32" s="632"/>
      <c r="AD32" s="632">
        <f>CCBASE!$I$34*2</f>
        <v>209.37365399999999</v>
      </c>
      <c r="AI32" s="634"/>
      <c r="AJ32" s="634"/>
    </row>
    <row r="33" spans="1:45" x14ac:dyDescent="0.2">
      <c r="A33" s="630" t="s">
        <v>187</v>
      </c>
      <c r="B33" s="630">
        <v>2000</v>
      </c>
      <c r="C33" s="630">
        <v>1750</v>
      </c>
      <c r="D33" s="630" t="str">
        <f t="shared" si="3"/>
        <v>UVX20001750</v>
      </c>
      <c r="E33" s="1046">
        <f t="shared" si="1"/>
        <v>1476.0775148999996</v>
      </c>
      <c r="F33" s="631">
        <v>16</v>
      </c>
      <c r="G33" s="632">
        <f>F33*CCBASE!$B$51</f>
        <v>576</v>
      </c>
      <c r="H33" s="632">
        <f>CCBASE!$I$11*B33/1000</f>
        <v>321.98592439999999</v>
      </c>
      <c r="I33" s="632"/>
      <c r="J33" s="632"/>
      <c r="K33" s="632"/>
      <c r="L33" s="637"/>
      <c r="M33" s="632">
        <f>CCBASE!$I$15*B33/1000</f>
        <v>159.69177000000002</v>
      </c>
      <c r="N33" s="632"/>
      <c r="O33" s="632"/>
      <c r="P33" s="632">
        <f>CCBASE!$I$9</f>
        <v>39.7111223</v>
      </c>
      <c r="Q33" s="632">
        <f>CCBASE!$I$51</f>
        <v>2.9</v>
      </c>
      <c r="R33" s="632">
        <f>CCBASE!$I$4</f>
        <v>8.3986041999999994</v>
      </c>
      <c r="S33" s="632">
        <f>CCBASE!$I$8</f>
        <v>16.25526</v>
      </c>
      <c r="T33" s="631"/>
      <c r="U33" s="631"/>
      <c r="V33" s="631"/>
      <c r="W33" s="632">
        <f>CCBASE!$I$42*B33/1000</f>
        <v>141.76118</v>
      </c>
      <c r="X33" s="632"/>
      <c r="Y33" s="632"/>
      <c r="Z33" s="632"/>
      <c r="AA33" s="632"/>
      <c r="AB33" s="632"/>
      <c r="AC33" s="632"/>
      <c r="AD33" s="632">
        <f>CCBASE!$I$34*2</f>
        <v>209.37365399999999</v>
      </c>
      <c r="AI33" s="634"/>
      <c r="AJ33" s="634"/>
    </row>
    <row r="34" spans="1:45" x14ac:dyDescent="0.2">
      <c r="A34" s="630" t="s">
        <v>187</v>
      </c>
      <c r="B34" s="630">
        <v>2250</v>
      </c>
      <c r="C34" s="630">
        <v>1750</v>
      </c>
      <c r="D34" s="630" t="str">
        <f t="shared" ref="D34" si="15">$A34&amp;B34&amp;C34</f>
        <v>UVX22501750</v>
      </c>
      <c r="E34" s="1046">
        <f t="shared" si="1"/>
        <v>1626.0073741999997</v>
      </c>
      <c r="F34" s="631">
        <v>18</v>
      </c>
      <c r="G34" s="632">
        <f>F34*CCBASE!$B$51</f>
        <v>648</v>
      </c>
      <c r="H34" s="632">
        <f>CCBASE!$I$11*B34/1000</f>
        <v>362.23416494999998</v>
      </c>
      <c r="I34" s="632"/>
      <c r="J34" s="632"/>
      <c r="K34" s="632"/>
      <c r="L34" s="637"/>
      <c r="M34" s="632">
        <f>CCBASE!$I$15*B34/1000</f>
        <v>179.65324125000001</v>
      </c>
      <c r="N34" s="632"/>
      <c r="O34" s="632"/>
      <c r="P34" s="632">
        <f>CCBASE!$I$9</f>
        <v>39.7111223</v>
      </c>
      <c r="Q34" s="632">
        <f>CCBASE!$I$51</f>
        <v>2.9</v>
      </c>
      <c r="R34" s="632">
        <f>CCBASE!$I$4</f>
        <v>8.3986041999999994</v>
      </c>
      <c r="S34" s="632">
        <f>CCBASE!$I$8</f>
        <v>16.25526</v>
      </c>
      <c r="T34" s="631"/>
      <c r="U34" s="631"/>
      <c r="V34" s="631"/>
      <c r="W34" s="632">
        <f>CCBASE!$I$42*B34/1000</f>
        <v>159.48132749999999</v>
      </c>
      <c r="X34" s="632"/>
      <c r="Y34" s="632"/>
      <c r="Z34" s="632"/>
      <c r="AA34" s="632"/>
      <c r="AB34" s="632"/>
      <c r="AC34" s="632"/>
      <c r="AD34" s="632">
        <f>CCBASE!$I$34*2</f>
        <v>209.37365399999999</v>
      </c>
      <c r="AI34" s="634"/>
      <c r="AJ34" s="634"/>
      <c r="AR34" s="635"/>
      <c r="AS34" s="635"/>
    </row>
    <row r="35" spans="1:45" x14ac:dyDescent="0.2">
      <c r="A35" s="630" t="s">
        <v>187</v>
      </c>
      <c r="B35" s="630">
        <v>2500</v>
      </c>
      <c r="C35" s="630">
        <v>1750</v>
      </c>
      <c r="D35" s="630" t="str">
        <f t="shared" si="3"/>
        <v>UVX25001750</v>
      </c>
      <c r="E35" s="1046">
        <f t="shared" si="1"/>
        <v>1703.9372334999998</v>
      </c>
      <c r="F35" s="631">
        <v>18</v>
      </c>
      <c r="G35" s="632">
        <f>F35*CCBASE!$B$51</f>
        <v>648</v>
      </c>
      <c r="H35" s="632">
        <f>CCBASE!$I$11*B35/1000</f>
        <v>402.48240549999997</v>
      </c>
      <c r="I35" s="632"/>
      <c r="J35" s="632"/>
      <c r="K35" s="632"/>
      <c r="L35" s="637"/>
      <c r="M35" s="632">
        <f>CCBASE!$I$15*B35/1000</f>
        <v>199.61471250000002</v>
      </c>
      <c r="N35" s="632"/>
      <c r="O35" s="632"/>
      <c r="P35" s="632">
        <f>CCBASE!$I$9</f>
        <v>39.7111223</v>
      </c>
      <c r="Q35" s="632">
        <f>CCBASE!$I$51</f>
        <v>2.9</v>
      </c>
      <c r="R35" s="632">
        <f>CCBASE!$I$4</f>
        <v>8.3986041999999994</v>
      </c>
      <c r="S35" s="632">
        <f>CCBASE!$I$8</f>
        <v>16.25526</v>
      </c>
      <c r="T35" s="631"/>
      <c r="U35" s="631"/>
      <c r="V35" s="631"/>
      <c r="W35" s="632">
        <f>CCBASE!$I$42*B35/1000</f>
        <v>177.20147500000002</v>
      </c>
      <c r="X35" s="632"/>
      <c r="Y35" s="632"/>
      <c r="Z35" s="632"/>
      <c r="AA35" s="632"/>
      <c r="AB35" s="632"/>
      <c r="AC35" s="632"/>
      <c r="AD35" s="632">
        <f>CCBASE!$I$34*2</f>
        <v>209.37365399999999</v>
      </c>
      <c r="AI35" s="634"/>
      <c r="AJ35" s="634"/>
      <c r="AR35" s="635"/>
      <c r="AS35" s="635"/>
    </row>
    <row r="36" spans="1:45" x14ac:dyDescent="0.2">
      <c r="A36" s="630" t="s">
        <v>187</v>
      </c>
      <c r="B36" s="630">
        <v>2750</v>
      </c>
      <c r="C36" s="630">
        <v>1750</v>
      </c>
      <c r="D36" s="630" t="str">
        <f t="shared" si="3"/>
        <v>UVX27501750</v>
      </c>
      <c r="E36" s="1046">
        <f t="shared" si="1"/>
        <v>1781.8670927999997</v>
      </c>
      <c r="F36" s="631">
        <v>18</v>
      </c>
      <c r="G36" s="632">
        <f>F36*CCBASE!$B$51</f>
        <v>648</v>
      </c>
      <c r="H36" s="632">
        <f>CCBASE!$I$11*B36/1000</f>
        <v>442.73064604999996</v>
      </c>
      <c r="I36" s="632"/>
      <c r="J36" s="632"/>
      <c r="K36" s="632"/>
      <c r="L36" s="637"/>
      <c r="M36" s="632">
        <f>CCBASE!$I$15*B36/1000</f>
        <v>219.57618375000001</v>
      </c>
      <c r="N36" s="632"/>
      <c r="O36" s="632"/>
      <c r="P36" s="632">
        <f>CCBASE!$I$9</f>
        <v>39.7111223</v>
      </c>
      <c r="Q36" s="632">
        <f>CCBASE!$I$51</f>
        <v>2.9</v>
      </c>
      <c r="R36" s="632">
        <f>CCBASE!$I$4</f>
        <v>8.3986041999999994</v>
      </c>
      <c r="S36" s="632">
        <f>CCBASE!$I$8</f>
        <v>16.25526</v>
      </c>
      <c r="T36" s="631"/>
      <c r="U36" s="631"/>
      <c r="V36" s="631"/>
      <c r="W36" s="632">
        <f>CCBASE!$I$42*B36/1000</f>
        <v>194.92162249999998</v>
      </c>
      <c r="X36" s="632"/>
      <c r="Y36" s="632"/>
      <c r="Z36" s="632"/>
      <c r="AA36" s="632"/>
      <c r="AB36" s="632"/>
      <c r="AC36" s="632"/>
      <c r="AD36" s="632">
        <f>CCBASE!$I$34*2</f>
        <v>209.37365399999999</v>
      </c>
      <c r="AI36" s="634"/>
      <c r="AJ36" s="634"/>
      <c r="AK36" s="635"/>
      <c r="AL36" s="635"/>
      <c r="AM36" s="635"/>
      <c r="AN36" s="635"/>
      <c r="AO36" s="635"/>
      <c r="AP36" s="635"/>
      <c r="AQ36" s="635"/>
      <c r="AR36" s="635"/>
      <c r="AS36" s="635"/>
    </row>
    <row r="37" spans="1:45" x14ac:dyDescent="0.2">
      <c r="A37" s="630" t="s">
        <v>187</v>
      </c>
      <c r="B37" s="630">
        <v>3000</v>
      </c>
      <c r="C37" s="630">
        <v>1750</v>
      </c>
      <c r="D37" s="630" t="str">
        <f t="shared" si="3"/>
        <v>UVX30001750</v>
      </c>
      <c r="E37" s="1046">
        <f t="shared" si="1"/>
        <v>1859.7969520999998</v>
      </c>
      <c r="F37" s="631">
        <v>18</v>
      </c>
      <c r="G37" s="632">
        <f>F37*CCBASE!$B$51</f>
        <v>648</v>
      </c>
      <c r="H37" s="632">
        <f>CCBASE!$I$11*B37/1000</f>
        <v>482.97888659999995</v>
      </c>
      <c r="I37" s="632"/>
      <c r="J37" s="632"/>
      <c r="K37" s="632"/>
      <c r="L37" s="637"/>
      <c r="M37" s="632">
        <f>CCBASE!$I$15*B37/1000</f>
        <v>239.53765500000003</v>
      </c>
      <c r="N37" s="632"/>
      <c r="O37" s="632"/>
      <c r="P37" s="632">
        <f>CCBASE!$I$9</f>
        <v>39.7111223</v>
      </c>
      <c r="Q37" s="632">
        <f>CCBASE!$I$51</f>
        <v>2.9</v>
      </c>
      <c r="R37" s="632">
        <f>CCBASE!$I$4</f>
        <v>8.3986041999999994</v>
      </c>
      <c r="S37" s="632">
        <f>CCBASE!$I$8</f>
        <v>16.25526</v>
      </c>
      <c r="T37" s="631"/>
      <c r="U37" s="631"/>
      <c r="V37" s="631"/>
      <c r="W37" s="632">
        <f>CCBASE!$I$42*B37/1000</f>
        <v>212.64176999999998</v>
      </c>
      <c r="X37" s="632"/>
      <c r="Y37" s="632"/>
      <c r="Z37" s="632"/>
      <c r="AA37" s="632"/>
      <c r="AB37" s="632"/>
      <c r="AC37" s="632"/>
      <c r="AD37" s="632">
        <f>CCBASE!$I$34*2</f>
        <v>209.37365399999999</v>
      </c>
      <c r="AI37" s="634"/>
      <c r="AJ37" s="634"/>
      <c r="AK37" s="635"/>
      <c r="AL37" s="635"/>
      <c r="AM37" s="635"/>
      <c r="AN37" s="635"/>
      <c r="AO37" s="635"/>
      <c r="AP37" s="635"/>
      <c r="AQ37" s="635"/>
      <c r="AR37" s="635"/>
      <c r="AS37" s="635"/>
    </row>
    <row r="38" spans="1:45" x14ac:dyDescent="0.2">
      <c r="A38" s="630" t="s">
        <v>187</v>
      </c>
      <c r="B38" s="630">
        <v>1000</v>
      </c>
      <c r="C38" s="630">
        <v>2000</v>
      </c>
      <c r="D38" s="630" t="str">
        <f t="shared" ref="D38:D46" si="16">$A38&amp;B38&amp;C38</f>
        <v>UVX10002000</v>
      </c>
      <c r="E38" s="1046">
        <f t="shared" si="1"/>
        <v>1247.5752333999999</v>
      </c>
      <c r="F38" s="631">
        <v>16</v>
      </c>
      <c r="G38" s="632">
        <f>F38*CCBASE!$B$51</f>
        <v>576</v>
      </c>
      <c r="H38" s="632">
        <f>CCBASE!$I$11*B38/1000</f>
        <v>160.99296219999999</v>
      </c>
      <c r="I38" s="632"/>
      <c r="J38" s="632"/>
      <c r="K38" s="632"/>
      <c r="L38" s="637"/>
      <c r="M38" s="632">
        <f>CCBASE!$I$15*B38/1000</f>
        <v>79.84588500000001</v>
      </c>
      <c r="N38" s="632"/>
      <c r="O38" s="632"/>
      <c r="P38" s="632">
        <f>CCBASE!$I$10</f>
        <v>30.661922000000001</v>
      </c>
      <c r="Q38" s="632">
        <f>CCBASE!$I$51</f>
        <v>2.9</v>
      </c>
      <c r="R38" s="632">
        <f>CCBASE!$I$4</f>
        <v>8.3986041999999994</v>
      </c>
      <c r="S38" s="632">
        <f>CCBASE!$I$8</f>
        <v>16.25526</v>
      </c>
      <c r="T38" s="631"/>
      <c r="U38" s="631"/>
      <c r="V38" s="631"/>
      <c r="W38" s="632">
        <f>CCBASE!$I$43*B38/1000</f>
        <v>88.624119999999991</v>
      </c>
      <c r="X38" s="632"/>
      <c r="Y38" s="632"/>
      <c r="Z38" s="632"/>
      <c r="AA38" s="632"/>
      <c r="AB38" s="632"/>
      <c r="AC38" s="632"/>
      <c r="AD38" s="632">
        <f>CCBASE!$I$35*2</f>
        <v>283.89648</v>
      </c>
      <c r="AI38" s="634"/>
      <c r="AJ38" s="634"/>
      <c r="AK38" s="635"/>
      <c r="AL38" s="635"/>
      <c r="AM38" s="635"/>
      <c r="AN38" s="635"/>
      <c r="AO38" s="635"/>
      <c r="AP38" s="635"/>
      <c r="AQ38" s="635"/>
      <c r="AR38" s="635"/>
      <c r="AS38" s="635"/>
    </row>
    <row r="39" spans="1:45" x14ac:dyDescent="0.2">
      <c r="A39" s="630" t="s">
        <v>187</v>
      </c>
      <c r="B39" s="630">
        <v>1250</v>
      </c>
      <c r="C39" s="630">
        <v>2000</v>
      </c>
      <c r="D39" s="630" t="str">
        <f t="shared" si="16"/>
        <v>UVX12502000</v>
      </c>
      <c r="E39" s="1046">
        <f t="shared" si="1"/>
        <v>1329.9409752000001</v>
      </c>
      <c r="F39" s="631">
        <v>16</v>
      </c>
      <c r="G39" s="632">
        <f>F39*CCBASE!$B$51</f>
        <v>576</v>
      </c>
      <c r="H39" s="632">
        <f>CCBASE!$I$11*B39/1000</f>
        <v>201.24120274999999</v>
      </c>
      <c r="I39" s="632"/>
      <c r="J39" s="632"/>
      <c r="K39" s="632"/>
      <c r="L39" s="637"/>
      <c r="M39" s="632">
        <f>CCBASE!$I$15*B39/1000</f>
        <v>99.807356250000012</v>
      </c>
      <c r="N39" s="632"/>
      <c r="O39" s="632"/>
      <c r="P39" s="632">
        <f>CCBASE!$I$10</f>
        <v>30.661922000000001</v>
      </c>
      <c r="Q39" s="632">
        <f>CCBASE!$I$51</f>
        <v>2.9</v>
      </c>
      <c r="R39" s="632">
        <f>CCBASE!$I$4</f>
        <v>8.3986041999999994</v>
      </c>
      <c r="S39" s="632">
        <f>CCBASE!$I$8</f>
        <v>16.25526</v>
      </c>
      <c r="T39" s="631"/>
      <c r="U39" s="631"/>
      <c r="V39" s="631"/>
      <c r="W39" s="632">
        <f>CCBASE!$I$43*B39/1000</f>
        <v>110.78014999999999</v>
      </c>
      <c r="X39" s="632"/>
      <c r="Y39" s="632"/>
      <c r="Z39" s="632"/>
      <c r="AA39" s="632"/>
      <c r="AB39" s="632"/>
      <c r="AC39" s="632"/>
      <c r="AD39" s="632">
        <f>CCBASE!$I$35*2</f>
        <v>283.89648</v>
      </c>
      <c r="AI39" s="634"/>
      <c r="AJ39" s="634"/>
      <c r="AK39" s="635"/>
      <c r="AL39" s="635"/>
      <c r="AM39" s="635"/>
      <c r="AN39" s="635"/>
      <c r="AO39" s="635"/>
      <c r="AP39" s="635"/>
      <c r="AQ39" s="635"/>
      <c r="AR39" s="635"/>
      <c r="AS39" s="635"/>
    </row>
    <row r="40" spans="1:45" x14ac:dyDescent="0.2">
      <c r="A40" s="630" t="s">
        <v>187</v>
      </c>
      <c r="B40" s="630">
        <v>1500</v>
      </c>
      <c r="C40" s="630">
        <v>2000</v>
      </c>
      <c r="D40" s="630" t="str">
        <f t="shared" ref="D40" si="17">$A40&amp;B40&amp;C40</f>
        <v>UVX15002000</v>
      </c>
      <c r="E40" s="1046">
        <f t="shared" si="1"/>
        <v>1412.3067169999999</v>
      </c>
      <c r="F40" s="631">
        <v>16</v>
      </c>
      <c r="G40" s="632">
        <f>F40*CCBASE!$B$51</f>
        <v>576</v>
      </c>
      <c r="H40" s="632">
        <f>CCBASE!$I$11*B40/1000</f>
        <v>241.48944329999998</v>
      </c>
      <c r="I40" s="632"/>
      <c r="J40" s="632"/>
      <c r="K40" s="632"/>
      <c r="L40" s="637"/>
      <c r="M40" s="632">
        <f>CCBASE!$I$15*B40/1000</f>
        <v>119.76882750000001</v>
      </c>
      <c r="N40" s="632"/>
      <c r="O40" s="632"/>
      <c r="P40" s="632">
        <f>CCBASE!$I$10</f>
        <v>30.661922000000001</v>
      </c>
      <c r="Q40" s="632">
        <f>CCBASE!$I$51</f>
        <v>2.9</v>
      </c>
      <c r="R40" s="632">
        <f>CCBASE!$I$4</f>
        <v>8.3986041999999994</v>
      </c>
      <c r="S40" s="632">
        <f>CCBASE!$I$8</f>
        <v>16.25526</v>
      </c>
      <c r="T40" s="631"/>
      <c r="U40" s="631"/>
      <c r="V40" s="631"/>
      <c r="W40" s="632">
        <f>CCBASE!$I$43*B40/1000</f>
        <v>132.93617999999998</v>
      </c>
      <c r="X40" s="632"/>
      <c r="Y40" s="632"/>
      <c r="Z40" s="632"/>
      <c r="AA40" s="632"/>
      <c r="AB40" s="632"/>
      <c r="AC40" s="632"/>
      <c r="AD40" s="632">
        <f>CCBASE!$I$35*2</f>
        <v>283.89648</v>
      </c>
      <c r="AI40" s="634"/>
      <c r="AJ40" s="634"/>
      <c r="AK40" s="635"/>
      <c r="AL40" s="635"/>
      <c r="AM40" s="635"/>
      <c r="AN40" s="635"/>
      <c r="AO40" s="635"/>
      <c r="AP40" s="635"/>
      <c r="AQ40" s="635"/>
      <c r="AR40" s="635"/>
      <c r="AS40" s="635"/>
    </row>
    <row r="41" spans="1:45" x14ac:dyDescent="0.2">
      <c r="A41" s="630" t="s">
        <v>187</v>
      </c>
      <c r="B41" s="630">
        <v>1750</v>
      </c>
      <c r="C41" s="630">
        <v>2000</v>
      </c>
      <c r="D41" s="630" t="str">
        <f t="shared" si="16"/>
        <v>UVX17502000</v>
      </c>
      <c r="E41" s="1046">
        <f t="shared" si="1"/>
        <v>1494.6724587999997</v>
      </c>
      <c r="F41" s="631">
        <v>16</v>
      </c>
      <c r="G41" s="632">
        <f>F41*CCBASE!$B$51</f>
        <v>576</v>
      </c>
      <c r="H41" s="632">
        <f>CCBASE!$I$11*B41/1000</f>
        <v>281.73768385</v>
      </c>
      <c r="I41" s="632"/>
      <c r="J41" s="632"/>
      <c r="K41" s="632"/>
      <c r="L41" s="637"/>
      <c r="M41" s="632">
        <f>CCBASE!$I$15*B41/1000</f>
        <v>139.73029875</v>
      </c>
      <c r="N41" s="632"/>
      <c r="O41" s="632"/>
      <c r="P41" s="632">
        <f>CCBASE!$I$10</f>
        <v>30.661922000000001</v>
      </c>
      <c r="Q41" s="632">
        <f>CCBASE!$I$51</f>
        <v>2.9</v>
      </c>
      <c r="R41" s="632">
        <f>CCBASE!$I$4</f>
        <v>8.3986041999999994</v>
      </c>
      <c r="S41" s="632">
        <f>CCBASE!$I$8</f>
        <v>16.25526</v>
      </c>
      <c r="T41" s="631"/>
      <c r="U41" s="631"/>
      <c r="V41" s="631"/>
      <c r="W41" s="632">
        <f>CCBASE!$I$43*B41/1000</f>
        <v>155.09220999999999</v>
      </c>
      <c r="X41" s="632"/>
      <c r="Y41" s="632"/>
      <c r="Z41" s="632"/>
      <c r="AA41" s="632"/>
      <c r="AB41" s="632"/>
      <c r="AC41" s="632"/>
      <c r="AD41" s="632">
        <f>CCBASE!$I$35*2</f>
        <v>283.89648</v>
      </c>
      <c r="AI41" s="634"/>
      <c r="AJ41" s="634"/>
      <c r="AK41" s="635"/>
      <c r="AL41" s="635"/>
      <c r="AM41" s="635"/>
      <c r="AN41" s="635"/>
      <c r="AO41" s="635"/>
      <c r="AP41" s="635"/>
      <c r="AQ41" s="635"/>
      <c r="AR41" s="635"/>
      <c r="AS41" s="635"/>
    </row>
    <row r="42" spans="1:45" x14ac:dyDescent="0.2">
      <c r="A42" s="630" t="s">
        <v>187</v>
      </c>
      <c r="B42" s="630">
        <v>2000</v>
      </c>
      <c r="C42" s="630">
        <v>2000</v>
      </c>
      <c r="D42" s="630" t="str">
        <f t="shared" si="16"/>
        <v>UVX20002000</v>
      </c>
      <c r="E42" s="1046">
        <f t="shared" si="1"/>
        <v>1586.0874008999995</v>
      </c>
      <c r="F42" s="631">
        <v>16</v>
      </c>
      <c r="G42" s="632">
        <f>F42*CCBASE!$B$51</f>
        <v>576</v>
      </c>
      <c r="H42" s="632">
        <f>CCBASE!$I$11*B42/1000</f>
        <v>321.98592439999999</v>
      </c>
      <c r="I42" s="632"/>
      <c r="J42" s="632"/>
      <c r="K42" s="632"/>
      <c r="L42" s="637"/>
      <c r="M42" s="632">
        <f>CCBASE!$I$15*B42/1000</f>
        <v>159.69177000000002</v>
      </c>
      <c r="N42" s="632"/>
      <c r="O42" s="632"/>
      <c r="P42" s="632">
        <f>CCBASE!$I$9</f>
        <v>39.7111223</v>
      </c>
      <c r="Q42" s="632">
        <f>CCBASE!$I$51</f>
        <v>2.9</v>
      </c>
      <c r="R42" s="632">
        <f>CCBASE!$I$4</f>
        <v>8.3986041999999994</v>
      </c>
      <c r="S42" s="632">
        <f>CCBASE!$I$8</f>
        <v>16.25526</v>
      </c>
      <c r="T42" s="631"/>
      <c r="U42" s="631"/>
      <c r="V42" s="631"/>
      <c r="W42" s="632">
        <f>CCBASE!$I$43*B42/1000</f>
        <v>177.24823999999998</v>
      </c>
      <c r="X42" s="632"/>
      <c r="Y42" s="632"/>
      <c r="Z42" s="632"/>
      <c r="AA42" s="632"/>
      <c r="AB42" s="632"/>
      <c r="AC42" s="632"/>
      <c r="AD42" s="632">
        <f>CCBASE!$I$35*2</f>
        <v>283.89648</v>
      </c>
      <c r="AI42" s="634"/>
      <c r="AJ42" s="634"/>
    </row>
    <row r="43" spans="1:45" x14ac:dyDescent="0.2">
      <c r="A43" s="630" t="s">
        <v>187</v>
      </c>
      <c r="B43" s="630">
        <v>2250</v>
      </c>
      <c r="C43" s="630">
        <v>2000</v>
      </c>
      <c r="D43" s="630" t="str">
        <f t="shared" ref="D43" si="18">$A43&amp;B43&amp;C43</f>
        <v>UVX22502000</v>
      </c>
      <c r="E43" s="1046">
        <f t="shared" si="1"/>
        <v>1740.4531426999997</v>
      </c>
      <c r="F43" s="631">
        <v>18</v>
      </c>
      <c r="G43" s="632">
        <f>F43*CCBASE!$B$51</f>
        <v>648</v>
      </c>
      <c r="H43" s="632">
        <f>CCBASE!$I$11*B43/1000</f>
        <v>362.23416494999998</v>
      </c>
      <c r="I43" s="632"/>
      <c r="J43" s="632"/>
      <c r="K43" s="632"/>
      <c r="L43" s="637"/>
      <c r="M43" s="632">
        <f>CCBASE!$I$15*B43/1000</f>
        <v>179.65324125000001</v>
      </c>
      <c r="N43" s="632"/>
      <c r="O43" s="632"/>
      <c r="P43" s="632">
        <f>CCBASE!$I$9</f>
        <v>39.7111223</v>
      </c>
      <c r="Q43" s="632">
        <f>CCBASE!$I$51</f>
        <v>2.9</v>
      </c>
      <c r="R43" s="632">
        <f>CCBASE!$I$4</f>
        <v>8.3986041999999994</v>
      </c>
      <c r="S43" s="632">
        <f>CCBASE!$I$8</f>
        <v>16.25526</v>
      </c>
      <c r="T43" s="631"/>
      <c r="U43" s="631"/>
      <c r="V43" s="631"/>
      <c r="W43" s="632">
        <f>CCBASE!$I$43*B43/1000</f>
        <v>199.40427</v>
      </c>
      <c r="X43" s="632"/>
      <c r="Y43" s="632"/>
      <c r="Z43" s="632"/>
      <c r="AA43" s="632"/>
      <c r="AB43" s="632"/>
      <c r="AC43" s="632"/>
      <c r="AD43" s="632">
        <f>CCBASE!$I$35*2</f>
        <v>283.89648</v>
      </c>
      <c r="AI43" s="634"/>
      <c r="AJ43" s="634"/>
      <c r="AR43" s="635"/>
      <c r="AS43" s="635"/>
    </row>
    <row r="44" spans="1:45" x14ac:dyDescent="0.2">
      <c r="A44" s="630" t="s">
        <v>187</v>
      </c>
      <c r="B44" s="630">
        <v>2500</v>
      </c>
      <c r="C44" s="630">
        <v>2000</v>
      </c>
      <c r="D44" s="630" t="str">
        <f t="shared" si="16"/>
        <v>UVX25002000</v>
      </c>
      <c r="E44" s="1046">
        <f t="shared" si="1"/>
        <v>1822.8188844999995</v>
      </c>
      <c r="F44" s="631">
        <v>18</v>
      </c>
      <c r="G44" s="632">
        <f>F44*CCBASE!$B$51</f>
        <v>648</v>
      </c>
      <c r="H44" s="632">
        <f>CCBASE!$I$11*B44/1000</f>
        <v>402.48240549999997</v>
      </c>
      <c r="I44" s="632"/>
      <c r="J44" s="632"/>
      <c r="K44" s="632"/>
      <c r="L44" s="637"/>
      <c r="M44" s="632">
        <f>CCBASE!$I$15*B44/1000</f>
        <v>199.61471250000002</v>
      </c>
      <c r="N44" s="632"/>
      <c r="O44" s="632"/>
      <c r="P44" s="632">
        <f>CCBASE!$I$9</f>
        <v>39.7111223</v>
      </c>
      <c r="Q44" s="632">
        <f>CCBASE!$I$51</f>
        <v>2.9</v>
      </c>
      <c r="R44" s="632">
        <f>CCBASE!$I$4</f>
        <v>8.3986041999999994</v>
      </c>
      <c r="S44" s="632">
        <f>CCBASE!$I$8</f>
        <v>16.25526</v>
      </c>
      <c r="T44" s="631"/>
      <c r="U44" s="631"/>
      <c r="V44" s="631"/>
      <c r="W44" s="632">
        <f>CCBASE!$I$43*B44/1000</f>
        <v>221.56029999999998</v>
      </c>
      <c r="X44" s="632"/>
      <c r="Y44" s="632"/>
      <c r="Z44" s="632"/>
      <c r="AA44" s="632"/>
      <c r="AB44" s="632"/>
      <c r="AC44" s="632"/>
      <c r="AD44" s="632">
        <f>CCBASE!$I$35*2</f>
        <v>283.89648</v>
      </c>
      <c r="AI44" s="634"/>
      <c r="AJ44" s="634"/>
      <c r="AR44" s="635"/>
      <c r="AS44" s="635"/>
    </row>
    <row r="45" spans="1:45" x14ac:dyDescent="0.2">
      <c r="A45" s="630" t="s">
        <v>187</v>
      </c>
      <c r="B45" s="630">
        <v>2750</v>
      </c>
      <c r="C45" s="630">
        <v>2000</v>
      </c>
      <c r="D45" s="630" t="str">
        <f t="shared" ref="D45" si="19">$A45&amp;B45&amp;C45</f>
        <v>UVX27502000</v>
      </c>
      <c r="E45" s="1046">
        <f t="shared" si="1"/>
        <v>1905.1846262999998</v>
      </c>
      <c r="F45" s="631">
        <v>18</v>
      </c>
      <c r="G45" s="632">
        <f>F45*CCBASE!$B$51</f>
        <v>648</v>
      </c>
      <c r="H45" s="632">
        <f>CCBASE!$I$11*B45/1000</f>
        <v>442.73064604999996</v>
      </c>
      <c r="I45" s="632"/>
      <c r="J45" s="632"/>
      <c r="K45" s="632"/>
      <c r="L45" s="637"/>
      <c r="M45" s="632">
        <f>CCBASE!$I$15*B45/1000</f>
        <v>219.57618375000001</v>
      </c>
      <c r="N45" s="632"/>
      <c r="O45" s="632"/>
      <c r="P45" s="632">
        <f>CCBASE!$I$9</f>
        <v>39.7111223</v>
      </c>
      <c r="Q45" s="632">
        <f>CCBASE!$I$51</f>
        <v>2.9</v>
      </c>
      <c r="R45" s="632">
        <f>CCBASE!$I$4</f>
        <v>8.3986041999999994</v>
      </c>
      <c r="S45" s="632">
        <f>CCBASE!$I$8</f>
        <v>16.25526</v>
      </c>
      <c r="T45" s="631"/>
      <c r="U45" s="631"/>
      <c r="V45" s="631"/>
      <c r="W45" s="632">
        <f>CCBASE!$I$43*B45/1000</f>
        <v>243.71633</v>
      </c>
      <c r="X45" s="632"/>
      <c r="Y45" s="632"/>
      <c r="Z45" s="632"/>
      <c r="AA45" s="632"/>
      <c r="AB45" s="632"/>
      <c r="AC45" s="632"/>
      <c r="AD45" s="632">
        <f>CCBASE!$I$35*2</f>
        <v>283.89648</v>
      </c>
      <c r="AI45" s="634"/>
      <c r="AJ45" s="634"/>
      <c r="AK45" s="635"/>
      <c r="AL45" s="635"/>
      <c r="AM45" s="635"/>
      <c r="AN45" s="635"/>
      <c r="AO45" s="635"/>
      <c r="AP45" s="635"/>
      <c r="AQ45" s="635"/>
      <c r="AR45" s="635"/>
      <c r="AS45" s="635"/>
    </row>
    <row r="46" spans="1:45" x14ac:dyDescent="0.2">
      <c r="A46" s="630" t="s">
        <v>187</v>
      </c>
      <c r="B46" s="630">
        <v>3000</v>
      </c>
      <c r="C46" s="630">
        <v>2000</v>
      </c>
      <c r="D46" s="630" t="str">
        <f t="shared" si="16"/>
        <v>UVX30002000</v>
      </c>
      <c r="E46" s="1046">
        <f t="shared" si="1"/>
        <v>1987.5503680999996</v>
      </c>
      <c r="F46" s="631">
        <v>18</v>
      </c>
      <c r="G46" s="632">
        <f>F46*CCBASE!$B$51</f>
        <v>648</v>
      </c>
      <c r="H46" s="632">
        <f>CCBASE!$I$11*B46/1000</f>
        <v>482.97888659999995</v>
      </c>
      <c r="I46" s="632"/>
      <c r="J46" s="632"/>
      <c r="K46" s="632"/>
      <c r="L46" s="637"/>
      <c r="M46" s="632">
        <f>CCBASE!$I$15*B46/1000</f>
        <v>239.53765500000003</v>
      </c>
      <c r="N46" s="632"/>
      <c r="O46" s="632"/>
      <c r="P46" s="632">
        <f>CCBASE!$I$9</f>
        <v>39.7111223</v>
      </c>
      <c r="Q46" s="632">
        <f>CCBASE!$I$51</f>
        <v>2.9</v>
      </c>
      <c r="R46" s="632">
        <f>CCBASE!$I$4</f>
        <v>8.3986041999999994</v>
      </c>
      <c r="S46" s="632">
        <f>CCBASE!$I$8</f>
        <v>16.25526</v>
      </c>
      <c r="T46" s="631"/>
      <c r="U46" s="631"/>
      <c r="V46" s="631"/>
      <c r="W46" s="632">
        <f>CCBASE!$I$43*B46/1000</f>
        <v>265.87235999999996</v>
      </c>
      <c r="X46" s="632"/>
      <c r="Y46" s="632"/>
      <c r="Z46" s="632"/>
      <c r="AA46" s="632"/>
      <c r="AB46" s="632"/>
      <c r="AC46" s="632"/>
      <c r="AD46" s="632">
        <f>CCBASE!$I$35*2</f>
        <v>283.89648</v>
      </c>
      <c r="AI46" s="634"/>
      <c r="AJ46" s="634"/>
      <c r="AK46" s="635"/>
      <c r="AL46" s="635"/>
      <c r="AM46" s="635"/>
      <c r="AN46" s="635"/>
      <c r="AO46" s="635"/>
      <c r="AP46" s="635"/>
      <c r="AQ46" s="635"/>
      <c r="AR46" s="635"/>
      <c r="AS46" s="635"/>
    </row>
    <row r="47" spans="1:45" x14ac:dyDescent="0.2">
      <c r="A47" s="630" t="s">
        <v>133</v>
      </c>
      <c r="B47" s="630">
        <v>1000</v>
      </c>
      <c r="C47" s="630">
        <v>1000</v>
      </c>
      <c r="D47" s="630" t="str">
        <f t="shared" ref="D47" si="20">A47&amp;B47&amp;C47</f>
        <v>UVI10001000</v>
      </c>
      <c r="E47" s="1046">
        <f t="shared" si="1"/>
        <v>1452.4405663999999</v>
      </c>
      <c r="F47" s="631">
        <v>19</v>
      </c>
      <c r="G47" s="632">
        <f>F47*CCBASE!$B$51</f>
        <v>684</v>
      </c>
      <c r="H47" s="632">
        <f>CCBASE!$I$11*B47/1000</f>
        <v>160.99296219999999</v>
      </c>
      <c r="I47" s="632"/>
      <c r="J47" s="632"/>
      <c r="K47" s="632"/>
      <c r="L47" s="632">
        <f>CCBASE!$I$14*B47/1000</f>
        <v>209.37365399999999</v>
      </c>
      <c r="M47" s="632"/>
      <c r="N47" s="632"/>
      <c r="O47" s="632">
        <f>CCBASE!$I$45*B47/1000</f>
        <v>9.9700000000000006</v>
      </c>
      <c r="P47" s="632">
        <f>CCBASE!$I$10</f>
        <v>30.661922000000001</v>
      </c>
      <c r="Q47" s="632">
        <f>CCBASE!$H$51</f>
        <v>5.16</v>
      </c>
      <c r="R47" s="632">
        <f>CCBASE!$I$4</f>
        <v>8.3986041999999994</v>
      </c>
      <c r="S47" s="632">
        <f>CCBASE!$I$8</f>
        <v>16.25526</v>
      </c>
      <c r="T47" s="632">
        <f>CCBASE!$I$44</f>
        <v>94.69</v>
      </c>
      <c r="U47" s="632"/>
      <c r="V47" s="632"/>
      <c r="W47" s="632">
        <f>CCBASE!$I$40*B47/1000</f>
        <v>41.308039999999998</v>
      </c>
      <c r="X47" s="632"/>
      <c r="Y47" s="632"/>
      <c r="Z47" s="632"/>
      <c r="AA47" s="632"/>
      <c r="AB47" s="632"/>
      <c r="AC47" s="632"/>
      <c r="AD47" s="632">
        <f>CCBASE!$I$36*2</f>
        <v>191.630124</v>
      </c>
      <c r="AI47" s="634"/>
      <c r="AJ47" s="634"/>
      <c r="AK47" s="635"/>
      <c r="AL47" s="635"/>
      <c r="AM47" s="635"/>
      <c r="AN47" s="635"/>
      <c r="AO47" s="635"/>
      <c r="AP47" s="635"/>
      <c r="AQ47" s="635"/>
      <c r="AR47" s="635"/>
      <c r="AS47" s="635"/>
    </row>
    <row r="48" spans="1:45" x14ac:dyDescent="0.2">
      <c r="A48" s="630" t="s">
        <v>133</v>
      </c>
      <c r="B48" s="630">
        <v>1250</v>
      </c>
      <c r="C48" s="630">
        <v>1000</v>
      </c>
      <c r="D48" s="630" t="str">
        <f>A48&amp;B48&amp;C48</f>
        <v>UVI12501000</v>
      </c>
      <c r="E48" s="1046">
        <f t="shared" si="1"/>
        <v>1557.8517304500001</v>
      </c>
      <c r="F48" s="631">
        <v>19</v>
      </c>
      <c r="G48" s="632">
        <f>F48*CCBASE!$B$51</f>
        <v>684</v>
      </c>
      <c r="H48" s="632">
        <f>CCBASE!$I$11*B48/1000</f>
        <v>201.24120274999999</v>
      </c>
      <c r="I48" s="632"/>
      <c r="J48" s="632"/>
      <c r="K48" s="632"/>
      <c r="L48" s="632">
        <f>CCBASE!$I$14*B48/1000</f>
        <v>261.71706749999998</v>
      </c>
      <c r="M48" s="632"/>
      <c r="N48" s="632"/>
      <c r="O48" s="632">
        <f>CCBASE!$I$45*B48/1000</f>
        <v>12.4625</v>
      </c>
      <c r="P48" s="632">
        <f>CCBASE!$I$10</f>
        <v>30.661922000000001</v>
      </c>
      <c r="Q48" s="632">
        <f>CCBASE!$H$51</f>
        <v>5.16</v>
      </c>
      <c r="R48" s="632">
        <f>CCBASE!$I$4</f>
        <v>8.3986041999999994</v>
      </c>
      <c r="S48" s="632">
        <f>CCBASE!$I$8</f>
        <v>16.25526</v>
      </c>
      <c r="T48" s="632">
        <f>CCBASE!$I$44</f>
        <v>94.69</v>
      </c>
      <c r="U48" s="632"/>
      <c r="V48" s="632"/>
      <c r="W48" s="632">
        <f>CCBASE!$I$40*B48/1000</f>
        <v>51.635049999999993</v>
      </c>
      <c r="X48" s="632"/>
      <c r="Y48" s="632"/>
      <c r="Z48" s="632"/>
      <c r="AA48" s="632"/>
      <c r="AB48" s="632"/>
      <c r="AC48" s="632"/>
      <c r="AD48" s="632">
        <f>CCBASE!$I$36*2</f>
        <v>191.630124</v>
      </c>
      <c r="AJ48" s="638"/>
    </row>
    <row r="49" spans="1:36" x14ac:dyDescent="0.2">
      <c r="A49" s="630" t="s">
        <v>133</v>
      </c>
      <c r="B49" s="630">
        <v>1500</v>
      </c>
      <c r="C49" s="630">
        <v>1000</v>
      </c>
      <c r="D49" s="630" t="str">
        <f>A49&amp;B49&amp;C49</f>
        <v>UVI15001000</v>
      </c>
      <c r="E49" s="1046">
        <f t="shared" si="1"/>
        <v>1663.2628944999999</v>
      </c>
      <c r="F49" s="631">
        <v>19</v>
      </c>
      <c r="G49" s="632">
        <f>F49*CCBASE!$B$51</f>
        <v>684</v>
      </c>
      <c r="H49" s="632">
        <f>CCBASE!$I$11*B49/1000</f>
        <v>241.48944329999998</v>
      </c>
      <c r="I49" s="632"/>
      <c r="J49" s="632"/>
      <c r="K49" s="632"/>
      <c r="L49" s="632">
        <f>CCBASE!$I$14*B49/1000</f>
        <v>314.06048099999998</v>
      </c>
      <c r="M49" s="632"/>
      <c r="N49" s="632"/>
      <c r="O49" s="632">
        <f>CCBASE!$I$45*B49/1000</f>
        <v>14.955000000000002</v>
      </c>
      <c r="P49" s="632">
        <f>CCBASE!$I$10</f>
        <v>30.661922000000001</v>
      </c>
      <c r="Q49" s="632">
        <f>CCBASE!$H$51</f>
        <v>5.16</v>
      </c>
      <c r="R49" s="632">
        <f>CCBASE!$I$4</f>
        <v>8.3986041999999994</v>
      </c>
      <c r="S49" s="632">
        <f>CCBASE!$I$8</f>
        <v>16.25526</v>
      </c>
      <c r="T49" s="632">
        <f>CCBASE!$I$44</f>
        <v>94.69</v>
      </c>
      <c r="U49" s="632"/>
      <c r="V49" s="632"/>
      <c r="W49" s="632">
        <f>CCBASE!$I$40*B49/1000</f>
        <v>61.962060000000001</v>
      </c>
      <c r="X49" s="632"/>
      <c r="Y49" s="632"/>
      <c r="Z49" s="632"/>
      <c r="AA49" s="632"/>
      <c r="AB49" s="632"/>
      <c r="AC49" s="632"/>
      <c r="AD49" s="632">
        <f>CCBASE!$I$36*2</f>
        <v>191.630124</v>
      </c>
      <c r="AJ49" s="638"/>
    </row>
    <row r="50" spans="1:36" x14ac:dyDescent="0.2">
      <c r="A50" s="630" t="s">
        <v>133</v>
      </c>
      <c r="B50" s="630">
        <v>1750</v>
      </c>
      <c r="C50" s="630">
        <v>1000</v>
      </c>
      <c r="D50" s="630" t="str">
        <f t="shared" ref="D50" si="21">A50&amp;B50&amp;C50</f>
        <v>UVI17501000</v>
      </c>
      <c r="E50" s="1046">
        <f t="shared" si="1"/>
        <v>1777.7232588499999</v>
      </c>
      <c r="F50" s="631">
        <v>19</v>
      </c>
      <c r="G50" s="632">
        <f>F50*CCBASE!$B$51</f>
        <v>684</v>
      </c>
      <c r="H50" s="632">
        <f>CCBASE!$I$11*B50/1000</f>
        <v>281.73768385</v>
      </c>
      <c r="I50" s="632"/>
      <c r="J50" s="632"/>
      <c r="K50" s="632"/>
      <c r="L50" s="632">
        <f>CCBASE!$I$14*B50/1000</f>
        <v>366.40389449999998</v>
      </c>
      <c r="M50" s="632"/>
      <c r="N50" s="632"/>
      <c r="O50" s="632">
        <f>CCBASE!$I$45*B50/1000</f>
        <v>17.447500000000002</v>
      </c>
      <c r="P50" s="632">
        <f>CCBASE!$I$9</f>
        <v>39.7111223</v>
      </c>
      <c r="Q50" s="632">
        <f>CCBASE!$H$51</f>
        <v>5.16</v>
      </c>
      <c r="R50" s="632">
        <f>CCBASE!$I$4</f>
        <v>8.3986041999999994</v>
      </c>
      <c r="S50" s="632">
        <f>CCBASE!$I$8</f>
        <v>16.25526</v>
      </c>
      <c r="T50" s="632">
        <f>CCBASE!$I$44</f>
        <v>94.69</v>
      </c>
      <c r="U50" s="632"/>
      <c r="V50" s="632"/>
      <c r="W50" s="632">
        <f>CCBASE!$I$40*B50/1000</f>
        <v>72.289069999999995</v>
      </c>
      <c r="X50" s="632"/>
      <c r="Y50" s="632"/>
      <c r="Z50" s="632"/>
      <c r="AA50" s="632"/>
      <c r="AB50" s="632"/>
      <c r="AC50" s="632"/>
      <c r="AD50" s="632">
        <f>CCBASE!$I$36*2</f>
        <v>191.630124</v>
      </c>
    </row>
    <row r="51" spans="1:36" x14ac:dyDescent="0.2">
      <c r="A51" s="630" t="s">
        <v>133</v>
      </c>
      <c r="B51" s="630">
        <v>2000</v>
      </c>
      <c r="C51" s="630">
        <v>1000</v>
      </c>
      <c r="D51" s="630" t="str">
        <f t="shared" ref="D51:D82" si="22">A51&amp;B51&amp;C51</f>
        <v>UVI20001000</v>
      </c>
      <c r="E51" s="1046">
        <f t="shared" si="1"/>
        <v>1883.1344228999999</v>
      </c>
      <c r="F51" s="631">
        <v>19</v>
      </c>
      <c r="G51" s="632">
        <f>F51*CCBASE!$B$51</f>
        <v>684</v>
      </c>
      <c r="H51" s="632">
        <f>CCBASE!$I$11*B51/1000</f>
        <v>321.98592439999999</v>
      </c>
      <c r="I51" s="632"/>
      <c r="J51" s="632"/>
      <c r="K51" s="632"/>
      <c r="L51" s="632">
        <f>CCBASE!$I$14*B51/1000</f>
        <v>418.74730799999998</v>
      </c>
      <c r="M51" s="632"/>
      <c r="N51" s="632"/>
      <c r="O51" s="632">
        <f>CCBASE!$I$45*B51/1000</f>
        <v>19.940000000000001</v>
      </c>
      <c r="P51" s="632">
        <f>CCBASE!$I$9</f>
        <v>39.7111223</v>
      </c>
      <c r="Q51" s="632">
        <f>CCBASE!$H$51</f>
        <v>5.16</v>
      </c>
      <c r="R51" s="632">
        <f>CCBASE!$I$4</f>
        <v>8.3986041999999994</v>
      </c>
      <c r="S51" s="632">
        <f>CCBASE!$I$8</f>
        <v>16.25526</v>
      </c>
      <c r="T51" s="632">
        <f>CCBASE!$I$44</f>
        <v>94.69</v>
      </c>
      <c r="U51" s="632"/>
      <c r="V51" s="632"/>
      <c r="W51" s="632">
        <f>CCBASE!$I$40*B51/1000</f>
        <v>82.616079999999997</v>
      </c>
      <c r="X51" s="632"/>
      <c r="Y51" s="632"/>
      <c r="Z51" s="632"/>
      <c r="AA51" s="632"/>
      <c r="AB51" s="632"/>
      <c r="AC51" s="632"/>
      <c r="AD51" s="632">
        <f>CCBASE!$I$36*2</f>
        <v>191.630124</v>
      </c>
    </row>
    <row r="52" spans="1:36" x14ac:dyDescent="0.2">
      <c r="A52" s="630" t="s">
        <v>133</v>
      </c>
      <c r="B52" s="630">
        <v>2250</v>
      </c>
      <c r="C52" s="630">
        <v>1000</v>
      </c>
      <c r="D52" s="630" t="str">
        <f t="shared" ref="D52" si="23">A52&amp;B52&amp;C52</f>
        <v>UVI22501000</v>
      </c>
      <c r="E52" s="1046">
        <f t="shared" si="1"/>
        <v>2168.5455869499997</v>
      </c>
      <c r="F52" s="631">
        <v>24</v>
      </c>
      <c r="G52" s="632">
        <f>F52*CCBASE!$B$51</f>
        <v>864</v>
      </c>
      <c r="H52" s="632">
        <f>CCBASE!$I$11*B52/1000</f>
        <v>362.23416494999998</v>
      </c>
      <c r="I52" s="632"/>
      <c r="J52" s="632"/>
      <c r="K52" s="632"/>
      <c r="L52" s="632">
        <f>CCBASE!$I$14*B52/1000</f>
        <v>471.09072149999997</v>
      </c>
      <c r="M52" s="632"/>
      <c r="N52" s="632"/>
      <c r="O52" s="632">
        <f>CCBASE!$I$45*B52/1000</f>
        <v>22.432500000000001</v>
      </c>
      <c r="P52" s="632">
        <f>CCBASE!$I$9</f>
        <v>39.7111223</v>
      </c>
      <c r="Q52" s="632">
        <f>CCBASE!$H$51</f>
        <v>5.16</v>
      </c>
      <c r="R52" s="632">
        <f>CCBASE!$I$4</f>
        <v>8.3986041999999994</v>
      </c>
      <c r="S52" s="632">
        <f>CCBASE!$I$8</f>
        <v>16.25526</v>
      </c>
      <c r="T52" s="632">
        <f>CCBASE!$I$44</f>
        <v>94.69</v>
      </c>
      <c r="U52" s="632"/>
      <c r="V52" s="632"/>
      <c r="W52" s="632">
        <f>CCBASE!$I$40*B52/1000</f>
        <v>92.943089999999998</v>
      </c>
      <c r="X52" s="632"/>
      <c r="Y52" s="632"/>
      <c r="Z52" s="632"/>
      <c r="AA52" s="632"/>
      <c r="AB52" s="632"/>
      <c r="AC52" s="632"/>
      <c r="AD52" s="632">
        <f>CCBASE!$I$36*2</f>
        <v>191.630124</v>
      </c>
    </row>
    <row r="53" spans="1:36" x14ac:dyDescent="0.2">
      <c r="A53" s="630" t="s">
        <v>133</v>
      </c>
      <c r="B53" s="630">
        <v>2500</v>
      </c>
      <c r="C53" s="630">
        <v>1000</v>
      </c>
      <c r="D53" s="630" t="str">
        <f t="shared" si="22"/>
        <v>UVI25001000</v>
      </c>
      <c r="E53" s="1046">
        <f t="shared" si="1"/>
        <v>2273.9567509999997</v>
      </c>
      <c r="F53" s="631">
        <v>24</v>
      </c>
      <c r="G53" s="632">
        <f>F53*CCBASE!$B$51</f>
        <v>864</v>
      </c>
      <c r="H53" s="632">
        <f>CCBASE!$I$11*B53/1000</f>
        <v>402.48240549999997</v>
      </c>
      <c r="I53" s="632"/>
      <c r="J53" s="632"/>
      <c r="K53" s="632"/>
      <c r="L53" s="632">
        <f>CCBASE!$I$14*B53/1000</f>
        <v>523.43413499999997</v>
      </c>
      <c r="M53" s="632"/>
      <c r="N53" s="632"/>
      <c r="O53" s="632">
        <f>CCBASE!$I$45*B53/1000</f>
        <v>24.925000000000001</v>
      </c>
      <c r="P53" s="632">
        <f>CCBASE!$I$9</f>
        <v>39.7111223</v>
      </c>
      <c r="Q53" s="632">
        <f>CCBASE!$H$51</f>
        <v>5.16</v>
      </c>
      <c r="R53" s="632">
        <f>CCBASE!$I$4</f>
        <v>8.3986041999999994</v>
      </c>
      <c r="S53" s="632">
        <f>CCBASE!$I$8</f>
        <v>16.25526</v>
      </c>
      <c r="T53" s="632">
        <f>CCBASE!$I$44</f>
        <v>94.69</v>
      </c>
      <c r="U53" s="632"/>
      <c r="V53" s="632"/>
      <c r="W53" s="632">
        <f>CCBASE!$I$40*B53/1000</f>
        <v>103.27009999999999</v>
      </c>
      <c r="X53" s="632"/>
      <c r="Y53" s="632"/>
      <c r="Z53" s="632"/>
      <c r="AA53" s="632"/>
      <c r="AB53" s="632"/>
      <c r="AC53" s="632"/>
      <c r="AD53" s="632">
        <f>CCBASE!$I$36*2</f>
        <v>191.630124</v>
      </c>
    </row>
    <row r="54" spans="1:36" x14ac:dyDescent="0.2">
      <c r="A54" s="630" t="s">
        <v>133</v>
      </c>
      <c r="B54" s="630">
        <v>2750</v>
      </c>
      <c r="C54" s="630">
        <v>1000</v>
      </c>
      <c r="D54" s="630" t="str">
        <f t="shared" ref="D54" si="24">A54&amp;B54&amp;C54</f>
        <v>UVI27501000</v>
      </c>
      <c r="E54" s="1046">
        <f t="shared" si="1"/>
        <v>2379.3679150499997</v>
      </c>
      <c r="F54" s="631">
        <v>24</v>
      </c>
      <c r="G54" s="632">
        <f>F54*CCBASE!$B$51</f>
        <v>864</v>
      </c>
      <c r="H54" s="632">
        <f>CCBASE!$I$11*B54/1000</f>
        <v>442.73064604999996</v>
      </c>
      <c r="I54" s="632"/>
      <c r="J54" s="632"/>
      <c r="K54" s="632"/>
      <c r="L54" s="632">
        <f>CCBASE!$I$14*B54/1000</f>
        <v>575.77754849999997</v>
      </c>
      <c r="M54" s="632"/>
      <c r="N54" s="632"/>
      <c r="O54" s="632">
        <f>CCBASE!$I$45*B54/1000</f>
        <v>27.4175</v>
      </c>
      <c r="P54" s="632">
        <f>CCBASE!$I$9</f>
        <v>39.7111223</v>
      </c>
      <c r="Q54" s="632">
        <f>CCBASE!$H$51</f>
        <v>5.16</v>
      </c>
      <c r="R54" s="632">
        <f>CCBASE!$I$4</f>
        <v>8.3986041999999994</v>
      </c>
      <c r="S54" s="632">
        <f>CCBASE!$I$8</f>
        <v>16.25526</v>
      </c>
      <c r="T54" s="632">
        <f>CCBASE!$I$44</f>
        <v>94.69</v>
      </c>
      <c r="U54" s="632"/>
      <c r="V54" s="632"/>
      <c r="W54" s="632">
        <f>CCBASE!$I$40*B54/1000</f>
        <v>113.59711</v>
      </c>
      <c r="X54" s="632"/>
      <c r="Y54" s="632"/>
      <c r="Z54" s="632"/>
      <c r="AA54" s="632"/>
      <c r="AB54" s="632"/>
      <c r="AC54" s="632"/>
      <c r="AD54" s="632">
        <f>CCBASE!$I$36*2</f>
        <v>191.630124</v>
      </c>
    </row>
    <row r="55" spans="1:36" x14ac:dyDescent="0.2">
      <c r="A55" s="630" t="s">
        <v>133</v>
      </c>
      <c r="B55" s="630">
        <v>3000</v>
      </c>
      <c r="C55" s="630">
        <v>1000</v>
      </c>
      <c r="D55" s="630" t="str">
        <f t="shared" si="22"/>
        <v>UVI30001000</v>
      </c>
      <c r="E55" s="1046">
        <f t="shared" si="1"/>
        <v>2484.7790790999998</v>
      </c>
      <c r="F55" s="631">
        <v>24</v>
      </c>
      <c r="G55" s="632">
        <f>F55*CCBASE!$B$51</f>
        <v>864</v>
      </c>
      <c r="H55" s="632">
        <f>CCBASE!$I$11*B55/1000</f>
        <v>482.97888659999995</v>
      </c>
      <c r="I55" s="632"/>
      <c r="J55" s="632"/>
      <c r="K55" s="632"/>
      <c r="L55" s="632">
        <f>CCBASE!$I$14*B55/1000</f>
        <v>628.12096199999996</v>
      </c>
      <c r="M55" s="632"/>
      <c r="N55" s="632"/>
      <c r="O55" s="632">
        <f>CCBASE!$I$45*B55/1000</f>
        <v>29.910000000000004</v>
      </c>
      <c r="P55" s="632">
        <f>CCBASE!$I$9</f>
        <v>39.7111223</v>
      </c>
      <c r="Q55" s="632">
        <f>CCBASE!$H$51</f>
        <v>5.16</v>
      </c>
      <c r="R55" s="632">
        <f>CCBASE!$I$4</f>
        <v>8.3986041999999994</v>
      </c>
      <c r="S55" s="632">
        <f>CCBASE!$I$8</f>
        <v>16.25526</v>
      </c>
      <c r="T55" s="632">
        <f>CCBASE!$I$44</f>
        <v>94.69</v>
      </c>
      <c r="U55" s="632"/>
      <c r="V55" s="632"/>
      <c r="W55" s="632">
        <f>CCBASE!$I$40*B55/1000</f>
        <v>123.92412</v>
      </c>
      <c r="X55" s="632"/>
      <c r="Y55" s="632"/>
      <c r="Z55" s="632"/>
      <c r="AA55" s="632"/>
      <c r="AB55" s="632"/>
      <c r="AC55" s="632"/>
      <c r="AD55" s="632">
        <f>CCBASE!$I$36*2</f>
        <v>191.630124</v>
      </c>
    </row>
    <row r="56" spans="1:36" x14ac:dyDescent="0.2">
      <c r="A56" s="630" t="s">
        <v>133</v>
      </c>
      <c r="B56" s="630">
        <v>1000</v>
      </c>
      <c r="C56" s="630">
        <v>1250</v>
      </c>
      <c r="D56" s="630" t="str">
        <f t="shared" si="22"/>
        <v>UVI10001250</v>
      </c>
      <c r="E56" s="1046">
        <f t="shared" si="1"/>
        <v>1452.4405663999999</v>
      </c>
      <c r="F56" s="631">
        <v>19</v>
      </c>
      <c r="G56" s="632">
        <f>F56*CCBASE!$B$51</f>
        <v>684</v>
      </c>
      <c r="H56" s="632">
        <f>CCBASE!$I$11*B56/1000</f>
        <v>160.99296219999999</v>
      </c>
      <c r="I56" s="632"/>
      <c r="J56" s="632"/>
      <c r="K56" s="632"/>
      <c r="L56" s="632">
        <f>CCBASE!$I$14*B56/1000</f>
        <v>209.37365399999999</v>
      </c>
      <c r="M56" s="632"/>
      <c r="N56" s="632"/>
      <c r="O56" s="632">
        <f>CCBASE!$I$45*B56/1000</f>
        <v>9.9700000000000006</v>
      </c>
      <c r="P56" s="632">
        <f>CCBASE!$I$10</f>
        <v>30.661922000000001</v>
      </c>
      <c r="Q56" s="632">
        <f>CCBASE!$H$51</f>
        <v>5.16</v>
      </c>
      <c r="R56" s="632">
        <f>CCBASE!$I$4</f>
        <v>8.3986041999999994</v>
      </c>
      <c r="S56" s="632">
        <f>CCBASE!$I$8</f>
        <v>16.25526</v>
      </c>
      <c r="T56" s="632">
        <f>CCBASE!$I$44</f>
        <v>94.69</v>
      </c>
      <c r="U56" s="632"/>
      <c r="V56" s="632"/>
      <c r="W56" s="632">
        <f>CCBASE!$I$40*B56/1000</f>
        <v>41.308039999999998</v>
      </c>
      <c r="X56" s="632"/>
      <c r="Y56" s="632"/>
      <c r="Z56" s="632"/>
      <c r="AA56" s="632"/>
      <c r="AB56" s="632"/>
      <c r="AC56" s="632"/>
      <c r="AD56" s="632">
        <f>CCBASE!$I$36*2</f>
        <v>191.630124</v>
      </c>
    </row>
    <row r="57" spans="1:36" x14ac:dyDescent="0.2">
      <c r="A57" s="630" t="s">
        <v>133</v>
      </c>
      <c r="B57" s="630">
        <v>1250</v>
      </c>
      <c r="C57" s="630">
        <v>1250</v>
      </c>
      <c r="D57" s="630" t="str">
        <f t="shared" ref="D57" si="25">A57&amp;B57&amp;C57</f>
        <v>UVI12501250</v>
      </c>
      <c r="E57" s="1046">
        <f t="shared" si="1"/>
        <v>1557.8517304500001</v>
      </c>
      <c r="F57" s="631">
        <v>19</v>
      </c>
      <c r="G57" s="632">
        <f>F57*CCBASE!$B$51</f>
        <v>684</v>
      </c>
      <c r="H57" s="632">
        <f>CCBASE!$I$11*B57/1000</f>
        <v>201.24120274999999</v>
      </c>
      <c r="I57" s="632"/>
      <c r="J57" s="632"/>
      <c r="K57" s="632"/>
      <c r="L57" s="632">
        <f>CCBASE!$I$14*B57/1000</f>
        <v>261.71706749999998</v>
      </c>
      <c r="M57" s="632"/>
      <c r="N57" s="632"/>
      <c r="O57" s="632">
        <f>CCBASE!$I$45*B57/1000</f>
        <v>12.4625</v>
      </c>
      <c r="P57" s="632">
        <f>CCBASE!$I$10</f>
        <v>30.661922000000001</v>
      </c>
      <c r="Q57" s="632">
        <f>CCBASE!$H$51</f>
        <v>5.16</v>
      </c>
      <c r="R57" s="632">
        <f>CCBASE!$I$4</f>
        <v>8.3986041999999994</v>
      </c>
      <c r="S57" s="632">
        <f>CCBASE!$I$8</f>
        <v>16.25526</v>
      </c>
      <c r="T57" s="632">
        <f>CCBASE!$I$44</f>
        <v>94.69</v>
      </c>
      <c r="U57" s="632"/>
      <c r="V57" s="632"/>
      <c r="W57" s="632">
        <f>CCBASE!$I$40*B57/1000</f>
        <v>51.635049999999993</v>
      </c>
      <c r="X57" s="632"/>
      <c r="Y57" s="632"/>
      <c r="Z57" s="632"/>
      <c r="AA57" s="632"/>
      <c r="AB57" s="632"/>
      <c r="AC57" s="632"/>
      <c r="AD57" s="632">
        <f>CCBASE!$I$36*2</f>
        <v>191.630124</v>
      </c>
    </row>
    <row r="58" spans="1:36" x14ac:dyDescent="0.2">
      <c r="A58" s="630" t="s">
        <v>133</v>
      </c>
      <c r="B58" s="630">
        <v>1500</v>
      </c>
      <c r="C58" s="630">
        <v>1250</v>
      </c>
      <c r="D58" s="630" t="str">
        <f t="shared" si="22"/>
        <v>UVI15001250</v>
      </c>
      <c r="E58" s="1046">
        <f t="shared" si="1"/>
        <v>1663.2628944999999</v>
      </c>
      <c r="F58" s="631">
        <v>19</v>
      </c>
      <c r="G58" s="632">
        <f>F58*CCBASE!$B$51</f>
        <v>684</v>
      </c>
      <c r="H58" s="632">
        <f>CCBASE!$I$11*B58/1000</f>
        <v>241.48944329999998</v>
      </c>
      <c r="I58" s="632"/>
      <c r="J58" s="632"/>
      <c r="K58" s="632"/>
      <c r="L58" s="632">
        <f>CCBASE!$I$14*B58/1000</f>
        <v>314.06048099999998</v>
      </c>
      <c r="M58" s="632"/>
      <c r="N58" s="632"/>
      <c r="O58" s="632">
        <f>CCBASE!$I$45*B58/1000</f>
        <v>14.955000000000002</v>
      </c>
      <c r="P58" s="632">
        <f>CCBASE!$I$10</f>
        <v>30.661922000000001</v>
      </c>
      <c r="Q58" s="632">
        <f>CCBASE!$H$51</f>
        <v>5.16</v>
      </c>
      <c r="R58" s="632">
        <f>CCBASE!$I$4</f>
        <v>8.3986041999999994</v>
      </c>
      <c r="S58" s="632">
        <f>CCBASE!$I$8</f>
        <v>16.25526</v>
      </c>
      <c r="T58" s="632">
        <f>CCBASE!$I$44</f>
        <v>94.69</v>
      </c>
      <c r="U58" s="632"/>
      <c r="V58" s="632"/>
      <c r="W58" s="632">
        <f>CCBASE!$I$40*B58/1000</f>
        <v>61.962060000000001</v>
      </c>
      <c r="X58" s="632"/>
      <c r="Y58" s="632"/>
      <c r="Z58" s="632"/>
      <c r="AA58" s="632"/>
      <c r="AB58" s="632"/>
      <c r="AC58" s="632"/>
      <c r="AD58" s="632">
        <f>CCBASE!$I$36*2</f>
        <v>191.630124</v>
      </c>
    </row>
    <row r="59" spans="1:36" x14ac:dyDescent="0.2">
      <c r="A59" s="630" t="s">
        <v>133</v>
      </c>
      <c r="B59" s="630">
        <v>1750</v>
      </c>
      <c r="C59" s="630">
        <v>1250</v>
      </c>
      <c r="D59" s="630" t="str">
        <f t="shared" ref="D59" si="26">A59&amp;B59&amp;C59</f>
        <v>UVI17501250</v>
      </c>
      <c r="E59" s="1046">
        <f t="shared" si="1"/>
        <v>1777.7232588499999</v>
      </c>
      <c r="F59" s="631">
        <v>19</v>
      </c>
      <c r="G59" s="632">
        <f>F59*CCBASE!$B$51</f>
        <v>684</v>
      </c>
      <c r="H59" s="632">
        <f>CCBASE!$I$11*B59/1000</f>
        <v>281.73768385</v>
      </c>
      <c r="I59" s="632"/>
      <c r="J59" s="632"/>
      <c r="K59" s="632"/>
      <c r="L59" s="632">
        <f>CCBASE!$I$14*B59/1000</f>
        <v>366.40389449999998</v>
      </c>
      <c r="M59" s="632"/>
      <c r="N59" s="632"/>
      <c r="O59" s="632">
        <f>CCBASE!$I$45*B59/1000</f>
        <v>17.447500000000002</v>
      </c>
      <c r="P59" s="632">
        <f>CCBASE!$I$9</f>
        <v>39.7111223</v>
      </c>
      <c r="Q59" s="632">
        <f>CCBASE!$H$51</f>
        <v>5.16</v>
      </c>
      <c r="R59" s="632">
        <f>CCBASE!$I$4</f>
        <v>8.3986041999999994</v>
      </c>
      <c r="S59" s="632">
        <f>CCBASE!$I$8</f>
        <v>16.25526</v>
      </c>
      <c r="T59" s="632">
        <f>CCBASE!$I$44</f>
        <v>94.69</v>
      </c>
      <c r="U59" s="632"/>
      <c r="V59" s="632"/>
      <c r="W59" s="632">
        <f>CCBASE!$I$40*B59/1000</f>
        <v>72.289069999999995</v>
      </c>
      <c r="X59" s="632"/>
      <c r="Y59" s="632"/>
      <c r="Z59" s="632"/>
      <c r="AA59" s="632"/>
      <c r="AB59" s="632"/>
      <c r="AC59" s="632"/>
      <c r="AD59" s="632">
        <f>CCBASE!$I$36*2</f>
        <v>191.630124</v>
      </c>
    </row>
    <row r="60" spans="1:36" x14ac:dyDescent="0.2">
      <c r="A60" s="630" t="s">
        <v>133</v>
      </c>
      <c r="B60" s="630">
        <v>2000</v>
      </c>
      <c r="C60" s="630">
        <v>1250</v>
      </c>
      <c r="D60" s="630" t="str">
        <f t="shared" si="22"/>
        <v>UVI20001250</v>
      </c>
      <c r="E60" s="1046">
        <f t="shared" si="1"/>
        <v>1883.1344228999999</v>
      </c>
      <c r="F60" s="631">
        <v>19</v>
      </c>
      <c r="G60" s="632">
        <f>F60*CCBASE!$B$51</f>
        <v>684</v>
      </c>
      <c r="H60" s="632">
        <f>CCBASE!$I$11*B60/1000</f>
        <v>321.98592439999999</v>
      </c>
      <c r="I60" s="632"/>
      <c r="J60" s="632"/>
      <c r="K60" s="632"/>
      <c r="L60" s="632">
        <f>CCBASE!$I$14*B60/1000</f>
        <v>418.74730799999998</v>
      </c>
      <c r="M60" s="632"/>
      <c r="N60" s="632"/>
      <c r="O60" s="632">
        <f>CCBASE!$I$45*B60/1000</f>
        <v>19.940000000000001</v>
      </c>
      <c r="P60" s="632">
        <f>CCBASE!$I$9</f>
        <v>39.7111223</v>
      </c>
      <c r="Q60" s="632">
        <f>CCBASE!$H$51</f>
        <v>5.16</v>
      </c>
      <c r="R60" s="632">
        <f>CCBASE!$I$4</f>
        <v>8.3986041999999994</v>
      </c>
      <c r="S60" s="632">
        <f>CCBASE!$I$8</f>
        <v>16.25526</v>
      </c>
      <c r="T60" s="632">
        <f>CCBASE!$I$44</f>
        <v>94.69</v>
      </c>
      <c r="U60" s="632"/>
      <c r="V60" s="632"/>
      <c r="W60" s="632">
        <f>CCBASE!$I$40*B60/1000</f>
        <v>82.616079999999997</v>
      </c>
      <c r="X60" s="632"/>
      <c r="Y60" s="632"/>
      <c r="Z60" s="632"/>
      <c r="AA60" s="632"/>
      <c r="AB60" s="632"/>
      <c r="AC60" s="632"/>
      <c r="AD60" s="632">
        <f>CCBASE!$I$36*2</f>
        <v>191.630124</v>
      </c>
    </row>
    <row r="61" spans="1:36" x14ac:dyDescent="0.2">
      <c r="A61" s="630" t="s">
        <v>133</v>
      </c>
      <c r="B61" s="630">
        <v>2250</v>
      </c>
      <c r="C61" s="630">
        <v>1250</v>
      </c>
      <c r="D61" s="630" t="str">
        <f t="shared" ref="D61" si="27">A61&amp;B61&amp;C61</f>
        <v>UVI22501250</v>
      </c>
      <c r="E61" s="1046">
        <f t="shared" si="1"/>
        <v>2168.5455869499997</v>
      </c>
      <c r="F61" s="631">
        <v>24</v>
      </c>
      <c r="G61" s="632">
        <f>F61*CCBASE!$B$51</f>
        <v>864</v>
      </c>
      <c r="H61" s="632">
        <f>CCBASE!$I$11*B61/1000</f>
        <v>362.23416494999998</v>
      </c>
      <c r="I61" s="632"/>
      <c r="J61" s="632"/>
      <c r="K61" s="632"/>
      <c r="L61" s="632">
        <f>CCBASE!$I$14*B61/1000</f>
        <v>471.09072149999997</v>
      </c>
      <c r="M61" s="632"/>
      <c r="N61" s="632"/>
      <c r="O61" s="632">
        <f>CCBASE!$I$45*B61/1000</f>
        <v>22.432500000000001</v>
      </c>
      <c r="P61" s="632">
        <f>CCBASE!$I$9</f>
        <v>39.7111223</v>
      </c>
      <c r="Q61" s="632">
        <f>CCBASE!$H$51</f>
        <v>5.16</v>
      </c>
      <c r="R61" s="632">
        <f>CCBASE!$I$4</f>
        <v>8.3986041999999994</v>
      </c>
      <c r="S61" s="632">
        <f>CCBASE!$I$8</f>
        <v>16.25526</v>
      </c>
      <c r="T61" s="632">
        <f>CCBASE!$I$44</f>
        <v>94.69</v>
      </c>
      <c r="U61" s="632"/>
      <c r="V61" s="632"/>
      <c r="W61" s="632">
        <f>CCBASE!$I$40*B61/1000</f>
        <v>92.943089999999998</v>
      </c>
      <c r="X61" s="632"/>
      <c r="Y61" s="632"/>
      <c r="Z61" s="632"/>
      <c r="AA61" s="632"/>
      <c r="AB61" s="632"/>
      <c r="AC61" s="632"/>
      <c r="AD61" s="632">
        <f>CCBASE!$I$36*2</f>
        <v>191.630124</v>
      </c>
    </row>
    <row r="62" spans="1:36" x14ac:dyDescent="0.2">
      <c r="A62" s="630" t="s">
        <v>133</v>
      </c>
      <c r="B62" s="630">
        <v>2500</v>
      </c>
      <c r="C62" s="630">
        <v>1250</v>
      </c>
      <c r="D62" s="630" t="str">
        <f t="shared" si="22"/>
        <v>UVI25001250</v>
      </c>
      <c r="E62" s="1046">
        <f t="shared" si="1"/>
        <v>2273.9567509999997</v>
      </c>
      <c r="F62" s="631">
        <v>24</v>
      </c>
      <c r="G62" s="632">
        <f>F62*CCBASE!$B$51</f>
        <v>864</v>
      </c>
      <c r="H62" s="632">
        <f>CCBASE!$I$11*B62/1000</f>
        <v>402.48240549999997</v>
      </c>
      <c r="I62" s="632"/>
      <c r="J62" s="632"/>
      <c r="K62" s="632"/>
      <c r="L62" s="632">
        <f>CCBASE!$I$14*B62/1000</f>
        <v>523.43413499999997</v>
      </c>
      <c r="M62" s="632"/>
      <c r="N62" s="632"/>
      <c r="O62" s="632">
        <f>CCBASE!$I$45*B62/1000</f>
        <v>24.925000000000001</v>
      </c>
      <c r="P62" s="632">
        <f>CCBASE!$I$9</f>
        <v>39.7111223</v>
      </c>
      <c r="Q62" s="632">
        <f>CCBASE!$H$51</f>
        <v>5.16</v>
      </c>
      <c r="R62" s="632">
        <f>CCBASE!$I$4</f>
        <v>8.3986041999999994</v>
      </c>
      <c r="S62" s="632">
        <f>CCBASE!$I$8</f>
        <v>16.25526</v>
      </c>
      <c r="T62" s="632">
        <f>CCBASE!$I$44</f>
        <v>94.69</v>
      </c>
      <c r="U62" s="632"/>
      <c r="V62" s="632"/>
      <c r="W62" s="632">
        <f>CCBASE!$I$40*B62/1000</f>
        <v>103.27009999999999</v>
      </c>
      <c r="X62" s="632"/>
      <c r="Y62" s="632"/>
      <c r="Z62" s="632"/>
      <c r="AA62" s="632"/>
      <c r="AB62" s="632"/>
      <c r="AC62" s="632"/>
      <c r="AD62" s="632">
        <f>CCBASE!$I$36*2</f>
        <v>191.630124</v>
      </c>
    </row>
    <row r="63" spans="1:36" x14ac:dyDescent="0.2">
      <c r="A63" s="630" t="s">
        <v>133</v>
      </c>
      <c r="B63" s="630">
        <v>2750</v>
      </c>
      <c r="C63" s="630">
        <v>1250</v>
      </c>
      <c r="D63" s="630" t="str">
        <f t="shared" ref="D63" si="28">A63&amp;B63&amp;C63</f>
        <v>UVI27501250</v>
      </c>
      <c r="E63" s="1046">
        <f t="shared" si="1"/>
        <v>2379.3679150499997</v>
      </c>
      <c r="F63" s="631">
        <v>24</v>
      </c>
      <c r="G63" s="632">
        <f>F63*CCBASE!$B$51</f>
        <v>864</v>
      </c>
      <c r="H63" s="632">
        <f>CCBASE!$I$11*B63/1000</f>
        <v>442.73064604999996</v>
      </c>
      <c r="I63" s="632"/>
      <c r="J63" s="632"/>
      <c r="K63" s="632"/>
      <c r="L63" s="632">
        <f>CCBASE!$I$14*B63/1000</f>
        <v>575.77754849999997</v>
      </c>
      <c r="M63" s="632"/>
      <c r="N63" s="632"/>
      <c r="O63" s="632">
        <f>CCBASE!$I$45*B63/1000</f>
        <v>27.4175</v>
      </c>
      <c r="P63" s="632">
        <f>CCBASE!$I$9</f>
        <v>39.7111223</v>
      </c>
      <c r="Q63" s="632">
        <f>CCBASE!$H$51</f>
        <v>5.16</v>
      </c>
      <c r="R63" s="632">
        <f>CCBASE!$I$4</f>
        <v>8.3986041999999994</v>
      </c>
      <c r="S63" s="632">
        <f>CCBASE!$I$8</f>
        <v>16.25526</v>
      </c>
      <c r="T63" s="632">
        <f>CCBASE!$I$44</f>
        <v>94.69</v>
      </c>
      <c r="U63" s="632"/>
      <c r="V63" s="632"/>
      <c r="W63" s="632">
        <f>CCBASE!$I$40*B63/1000</f>
        <v>113.59711</v>
      </c>
      <c r="X63" s="632"/>
      <c r="Y63" s="632"/>
      <c r="Z63" s="632"/>
      <c r="AA63" s="632"/>
      <c r="AB63" s="632"/>
      <c r="AC63" s="632"/>
      <c r="AD63" s="632">
        <f>CCBASE!$I$36*2</f>
        <v>191.630124</v>
      </c>
    </row>
    <row r="64" spans="1:36" x14ac:dyDescent="0.2">
      <c r="A64" s="630" t="s">
        <v>133</v>
      </c>
      <c r="B64" s="630">
        <v>3000</v>
      </c>
      <c r="C64" s="630">
        <v>1250</v>
      </c>
      <c r="D64" s="630" t="str">
        <f t="shared" si="22"/>
        <v>UVI30001250</v>
      </c>
      <c r="E64" s="1046">
        <f t="shared" si="1"/>
        <v>2484.7790790999998</v>
      </c>
      <c r="F64" s="631">
        <v>24</v>
      </c>
      <c r="G64" s="632">
        <f>F64*CCBASE!$B$51</f>
        <v>864</v>
      </c>
      <c r="H64" s="632">
        <f>CCBASE!$I$11*B64/1000</f>
        <v>482.97888659999995</v>
      </c>
      <c r="I64" s="632"/>
      <c r="J64" s="632"/>
      <c r="K64" s="632"/>
      <c r="L64" s="632">
        <f>CCBASE!$I$14*B64/1000</f>
        <v>628.12096199999996</v>
      </c>
      <c r="M64" s="632"/>
      <c r="N64" s="632"/>
      <c r="O64" s="632">
        <f>CCBASE!$I$45*B64/1000</f>
        <v>29.910000000000004</v>
      </c>
      <c r="P64" s="632">
        <f>CCBASE!$I$9</f>
        <v>39.7111223</v>
      </c>
      <c r="Q64" s="632">
        <f>CCBASE!$H$51</f>
        <v>5.16</v>
      </c>
      <c r="R64" s="632">
        <f>CCBASE!$I$4</f>
        <v>8.3986041999999994</v>
      </c>
      <c r="S64" s="632">
        <f>CCBASE!$I$8</f>
        <v>16.25526</v>
      </c>
      <c r="T64" s="632">
        <f>CCBASE!$I$44</f>
        <v>94.69</v>
      </c>
      <c r="U64" s="632"/>
      <c r="V64" s="632"/>
      <c r="W64" s="632">
        <f>CCBASE!$I$40*B64/1000</f>
        <v>123.92412</v>
      </c>
      <c r="X64" s="632"/>
      <c r="Y64" s="632"/>
      <c r="Z64" s="632"/>
      <c r="AA64" s="632"/>
      <c r="AB64" s="632"/>
      <c r="AC64" s="632"/>
      <c r="AD64" s="632">
        <f>CCBASE!$I$36*2</f>
        <v>191.630124</v>
      </c>
    </row>
    <row r="65" spans="1:30" x14ac:dyDescent="0.2">
      <c r="A65" s="630" t="s">
        <v>133</v>
      </c>
      <c r="B65" s="630">
        <v>1000</v>
      </c>
      <c r="C65" s="630">
        <v>1500</v>
      </c>
      <c r="D65" s="630" t="str">
        <f t="shared" si="22"/>
        <v>UVI10001500</v>
      </c>
      <c r="E65" s="1046">
        <f t="shared" si="1"/>
        <v>1518.6830783999999</v>
      </c>
      <c r="F65" s="631">
        <v>19</v>
      </c>
      <c r="G65" s="632">
        <f>F65*CCBASE!$B$51</f>
        <v>684</v>
      </c>
      <c r="H65" s="632">
        <f>CCBASE!$I$11*B65/1000</f>
        <v>160.99296219999999</v>
      </c>
      <c r="I65" s="632"/>
      <c r="J65" s="632"/>
      <c r="K65" s="632"/>
      <c r="L65" s="632">
        <f>CCBASE!$I$14*B65/1000</f>
        <v>209.37365399999999</v>
      </c>
      <c r="M65" s="632"/>
      <c r="N65" s="632"/>
      <c r="O65" s="632">
        <f>CCBASE!$I$45*B65/1000</f>
        <v>9.9700000000000006</v>
      </c>
      <c r="P65" s="632">
        <f>CCBASE!$I$10</f>
        <v>30.661922000000001</v>
      </c>
      <c r="Q65" s="632">
        <f>CCBASE!$H$51</f>
        <v>5.16</v>
      </c>
      <c r="R65" s="632">
        <f>CCBASE!$I$4</f>
        <v>8.3986041999999994</v>
      </c>
      <c r="S65" s="632">
        <f>CCBASE!$I$8</f>
        <v>16.25526</v>
      </c>
      <c r="T65" s="632">
        <f>CCBASE!$I$44</f>
        <v>94.69</v>
      </c>
      <c r="U65" s="632"/>
      <c r="V65" s="632"/>
      <c r="W65" s="632">
        <f>CCBASE!$I$41*B65/1000</f>
        <v>59.051569999999998</v>
      </c>
      <c r="X65" s="632"/>
      <c r="Y65" s="632"/>
      <c r="Z65" s="632"/>
      <c r="AA65" s="632"/>
      <c r="AB65" s="632"/>
      <c r="AC65" s="632"/>
      <c r="AD65" s="632">
        <f>CCBASE!$I$37*2</f>
        <v>240.12910599999998</v>
      </c>
    </row>
    <row r="66" spans="1:30" x14ac:dyDescent="0.2">
      <c r="A66" s="630" t="s">
        <v>133</v>
      </c>
      <c r="B66" s="630">
        <v>1250</v>
      </c>
      <c r="C66" s="630">
        <v>1500</v>
      </c>
      <c r="D66" s="630" t="str">
        <f t="shared" ref="D66:D67" si="29">A66&amp;B66&amp;C66</f>
        <v>UVI12501500</v>
      </c>
      <c r="E66" s="1046">
        <f t="shared" si="1"/>
        <v>1628.5301249499998</v>
      </c>
      <c r="F66" s="631">
        <v>19</v>
      </c>
      <c r="G66" s="632">
        <f>F66*CCBASE!$B$51</f>
        <v>684</v>
      </c>
      <c r="H66" s="632">
        <f>CCBASE!$I$11*B66/1000</f>
        <v>201.24120274999999</v>
      </c>
      <c r="I66" s="632"/>
      <c r="J66" s="632"/>
      <c r="K66" s="632"/>
      <c r="L66" s="632">
        <f>CCBASE!$I$14*B66/1000</f>
        <v>261.71706749999998</v>
      </c>
      <c r="M66" s="632"/>
      <c r="N66" s="632"/>
      <c r="O66" s="632">
        <f>CCBASE!$I$45*B66/1000</f>
        <v>12.4625</v>
      </c>
      <c r="P66" s="632">
        <f>CCBASE!$I$10</f>
        <v>30.661922000000001</v>
      </c>
      <c r="Q66" s="632">
        <f>CCBASE!$H$51</f>
        <v>5.16</v>
      </c>
      <c r="R66" s="632">
        <f>CCBASE!$I$4</f>
        <v>8.3986041999999994</v>
      </c>
      <c r="S66" s="632">
        <f>CCBASE!$I$8</f>
        <v>16.25526</v>
      </c>
      <c r="T66" s="632">
        <f>CCBASE!$I$44</f>
        <v>94.69</v>
      </c>
      <c r="U66" s="632"/>
      <c r="V66" s="632"/>
      <c r="W66" s="632">
        <f>CCBASE!$I$41*B66/1000</f>
        <v>73.814462499999991</v>
      </c>
      <c r="X66" s="632"/>
      <c r="Y66" s="632"/>
      <c r="Z66" s="632"/>
      <c r="AA66" s="632"/>
      <c r="AB66" s="632"/>
      <c r="AC66" s="632"/>
      <c r="AD66" s="632">
        <f>CCBASE!$I$37*2</f>
        <v>240.12910599999998</v>
      </c>
    </row>
    <row r="67" spans="1:30" x14ac:dyDescent="0.2">
      <c r="A67" s="630" t="s">
        <v>133</v>
      </c>
      <c r="B67" s="630">
        <v>1500</v>
      </c>
      <c r="C67" s="630">
        <v>1500</v>
      </c>
      <c r="D67" s="630" t="str">
        <f t="shared" si="29"/>
        <v>UVI15001500</v>
      </c>
      <c r="E67" s="1046">
        <f t="shared" ref="E67:E130" si="30">SUM(G67:AD67)</f>
        <v>1747.4263717999997</v>
      </c>
      <c r="F67" s="631">
        <v>19</v>
      </c>
      <c r="G67" s="632">
        <f>F67*CCBASE!$B$51</f>
        <v>684</v>
      </c>
      <c r="H67" s="632">
        <f>CCBASE!$I$11*B67/1000</f>
        <v>241.48944329999998</v>
      </c>
      <c r="I67" s="632"/>
      <c r="J67" s="632"/>
      <c r="K67" s="632"/>
      <c r="L67" s="632">
        <f>CCBASE!$I$14*B67/1000</f>
        <v>314.06048099999998</v>
      </c>
      <c r="M67" s="632"/>
      <c r="N67" s="632"/>
      <c r="O67" s="632">
        <f>CCBASE!$I$45*B67/1000</f>
        <v>14.955000000000002</v>
      </c>
      <c r="P67" s="632">
        <f>CCBASE!$I$9</f>
        <v>39.7111223</v>
      </c>
      <c r="Q67" s="632">
        <f>CCBASE!$H$51</f>
        <v>5.16</v>
      </c>
      <c r="R67" s="632">
        <f>CCBASE!$I$4</f>
        <v>8.3986041999999994</v>
      </c>
      <c r="S67" s="632">
        <f>CCBASE!$I$8</f>
        <v>16.25526</v>
      </c>
      <c r="T67" s="632">
        <f>CCBASE!$I$44</f>
        <v>94.69</v>
      </c>
      <c r="U67" s="632"/>
      <c r="V67" s="632"/>
      <c r="W67" s="632">
        <f>CCBASE!$I$41*B67/1000</f>
        <v>88.577354999999997</v>
      </c>
      <c r="X67" s="632"/>
      <c r="Y67" s="632"/>
      <c r="Z67" s="632"/>
      <c r="AA67" s="632"/>
      <c r="AB67" s="632"/>
      <c r="AC67" s="632"/>
      <c r="AD67" s="632">
        <f>CCBASE!$I$37*2</f>
        <v>240.12910599999998</v>
      </c>
    </row>
    <row r="68" spans="1:30" x14ac:dyDescent="0.2">
      <c r="A68" s="630" t="s">
        <v>133</v>
      </c>
      <c r="B68" s="630">
        <v>1750</v>
      </c>
      <c r="C68" s="630">
        <v>1500</v>
      </c>
      <c r="D68" s="630" t="str">
        <f t="shared" si="22"/>
        <v>UVI17501500</v>
      </c>
      <c r="E68" s="1046">
        <f t="shared" si="30"/>
        <v>1848.2242180499998</v>
      </c>
      <c r="F68" s="631">
        <v>19</v>
      </c>
      <c r="G68" s="632">
        <f>F68*CCBASE!$B$51</f>
        <v>684</v>
      </c>
      <c r="H68" s="632">
        <f>CCBASE!$I$11*B68/1000</f>
        <v>281.73768385</v>
      </c>
      <c r="I68" s="632"/>
      <c r="J68" s="632"/>
      <c r="K68" s="632"/>
      <c r="L68" s="632">
        <f>CCBASE!$I$14*B68/1000</f>
        <v>366.40389449999998</v>
      </c>
      <c r="M68" s="632"/>
      <c r="N68" s="632"/>
      <c r="O68" s="632">
        <f>CCBASE!$I$45*B68/1000</f>
        <v>17.447500000000002</v>
      </c>
      <c r="P68" s="632">
        <f>CCBASE!$I$10</f>
        <v>30.661922000000001</v>
      </c>
      <c r="Q68" s="632">
        <f>CCBASE!$H$51</f>
        <v>5.16</v>
      </c>
      <c r="R68" s="632">
        <f>CCBASE!$I$4</f>
        <v>8.3986041999999994</v>
      </c>
      <c r="S68" s="632">
        <f>CCBASE!$I$8</f>
        <v>16.25526</v>
      </c>
      <c r="T68" s="632">
        <f>CCBASE!$I$44</f>
        <v>94.69</v>
      </c>
      <c r="U68" s="632"/>
      <c r="V68" s="632"/>
      <c r="W68" s="632">
        <f>CCBASE!$I$41*B68/1000</f>
        <v>103.3402475</v>
      </c>
      <c r="X68" s="632"/>
      <c r="Y68" s="632"/>
      <c r="Z68" s="632"/>
      <c r="AA68" s="632"/>
      <c r="AB68" s="632"/>
      <c r="AC68" s="632"/>
      <c r="AD68" s="632">
        <f>CCBASE!$I$37*2</f>
        <v>240.12910599999998</v>
      </c>
    </row>
    <row r="69" spans="1:30" x14ac:dyDescent="0.2">
      <c r="A69" s="630" t="s">
        <v>133</v>
      </c>
      <c r="B69" s="630">
        <v>2000</v>
      </c>
      <c r="C69" s="630">
        <v>1500</v>
      </c>
      <c r="D69" s="630" t="str">
        <f t="shared" si="22"/>
        <v>UVI20001500</v>
      </c>
      <c r="E69" s="1046">
        <f t="shared" si="30"/>
        <v>1967.1204648999997</v>
      </c>
      <c r="F69" s="631">
        <v>19</v>
      </c>
      <c r="G69" s="632">
        <f>F69*CCBASE!$B$51</f>
        <v>684</v>
      </c>
      <c r="H69" s="632">
        <f>CCBASE!$I$11*B69/1000</f>
        <v>321.98592439999999</v>
      </c>
      <c r="I69" s="632"/>
      <c r="J69" s="632"/>
      <c r="K69" s="632"/>
      <c r="L69" s="632">
        <f>CCBASE!$I$14*B69/1000</f>
        <v>418.74730799999998</v>
      </c>
      <c r="M69" s="632"/>
      <c r="N69" s="632"/>
      <c r="O69" s="632">
        <f>CCBASE!$I$45*B69/1000</f>
        <v>19.940000000000001</v>
      </c>
      <c r="P69" s="632">
        <f>CCBASE!$I$9</f>
        <v>39.7111223</v>
      </c>
      <c r="Q69" s="632">
        <f>CCBASE!$H$51</f>
        <v>5.16</v>
      </c>
      <c r="R69" s="632">
        <f>CCBASE!$I$4</f>
        <v>8.3986041999999994</v>
      </c>
      <c r="S69" s="632">
        <f>CCBASE!$I$8</f>
        <v>16.25526</v>
      </c>
      <c r="T69" s="632">
        <f>CCBASE!$I$44</f>
        <v>94.69</v>
      </c>
      <c r="U69" s="632"/>
      <c r="V69" s="632"/>
      <c r="W69" s="632">
        <f>CCBASE!$I$41*B69/1000</f>
        <v>118.10314</v>
      </c>
      <c r="X69" s="632"/>
      <c r="Y69" s="632"/>
      <c r="Z69" s="632"/>
      <c r="AA69" s="632"/>
      <c r="AB69" s="632"/>
      <c r="AC69" s="632"/>
      <c r="AD69" s="632">
        <f>CCBASE!$I$37*2</f>
        <v>240.12910599999998</v>
      </c>
    </row>
    <row r="70" spans="1:30" x14ac:dyDescent="0.2">
      <c r="A70" s="630" t="s">
        <v>133</v>
      </c>
      <c r="B70" s="630">
        <v>2250</v>
      </c>
      <c r="C70" s="630">
        <v>1500</v>
      </c>
      <c r="D70" s="630" t="str">
        <f t="shared" ref="D70" si="31">A70&amp;B70&amp;C70</f>
        <v>UVI22501500</v>
      </c>
      <c r="E70" s="1046">
        <f t="shared" si="30"/>
        <v>2256.9675114499996</v>
      </c>
      <c r="F70" s="631">
        <v>24</v>
      </c>
      <c r="G70" s="632">
        <f>F70*CCBASE!$B$51</f>
        <v>864</v>
      </c>
      <c r="H70" s="632">
        <f>CCBASE!$I$11*B70/1000</f>
        <v>362.23416494999998</v>
      </c>
      <c r="I70" s="632"/>
      <c r="J70" s="632"/>
      <c r="K70" s="632"/>
      <c r="L70" s="632">
        <f>CCBASE!$I$14*B70/1000</f>
        <v>471.09072149999997</v>
      </c>
      <c r="M70" s="632"/>
      <c r="N70" s="632"/>
      <c r="O70" s="632">
        <f>CCBASE!$I$45*B70/1000</f>
        <v>22.432500000000001</v>
      </c>
      <c r="P70" s="632">
        <f>CCBASE!$I$9</f>
        <v>39.7111223</v>
      </c>
      <c r="Q70" s="632">
        <f>CCBASE!$H$51</f>
        <v>5.16</v>
      </c>
      <c r="R70" s="632">
        <f>CCBASE!$I$4</f>
        <v>8.3986041999999994</v>
      </c>
      <c r="S70" s="632">
        <f>CCBASE!$I$8</f>
        <v>16.25526</v>
      </c>
      <c r="T70" s="632">
        <f>CCBASE!$I$44</f>
        <v>94.69</v>
      </c>
      <c r="U70" s="632"/>
      <c r="V70" s="632"/>
      <c r="W70" s="632">
        <f>CCBASE!$I$41*B70/1000</f>
        <v>132.86603249999999</v>
      </c>
      <c r="X70" s="632"/>
      <c r="Y70" s="632"/>
      <c r="Z70" s="632"/>
      <c r="AA70" s="632"/>
      <c r="AB70" s="632"/>
      <c r="AC70" s="632"/>
      <c r="AD70" s="632">
        <f>CCBASE!$I$37*2</f>
        <v>240.12910599999998</v>
      </c>
    </row>
    <row r="71" spans="1:30" x14ac:dyDescent="0.2">
      <c r="A71" s="630" t="s">
        <v>133</v>
      </c>
      <c r="B71" s="630">
        <v>2500</v>
      </c>
      <c r="C71" s="630">
        <v>1500</v>
      </c>
      <c r="D71" s="630" t="str">
        <f t="shared" si="22"/>
        <v>UVI25001500</v>
      </c>
      <c r="E71" s="1046">
        <f t="shared" si="30"/>
        <v>2366.8145579999996</v>
      </c>
      <c r="F71" s="631">
        <v>24</v>
      </c>
      <c r="G71" s="632">
        <f>F71*CCBASE!$B$51</f>
        <v>864</v>
      </c>
      <c r="H71" s="632">
        <f>CCBASE!$I$11*B71/1000</f>
        <v>402.48240549999997</v>
      </c>
      <c r="I71" s="632"/>
      <c r="J71" s="632"/>
      <c r="K71" s="632"/>
      <c r="L71" s="632">
        <f>CCBASE!$I$14*B71/1000</f>
        <v>523.43413499999997</v>
      </c>
      <c r="M71" s="632"/>
      <c r="N71" s="632"/>
      <c r="O71" s="632">
        <f>CCBASE!$I$45*B71/1000</f>
        <v>24.925000000000001</v>
      </c>
      <c r="P71" s="632">
        <f>CCBASE!$I$9</f>
        <v>39.7111223</v>
      </c>
      <c r="Q71" s="632">
        <f>CCBASE!$H$51</f>
        <v>5.16</v>
      </c>
      <c r="R71" s="632">
        <f>CCBASE!$I$4</f>
        <v>8.3986041999999994</v>
      </c>
      <c r="S71" s="632">
        <f>CCBASE!$I$8</f>
        <v>16.25526</v>
      </c>
      <c r="T71" s="632">
        <f>CCBASE!$I$44</f>
        <v>94.69</v>
      </c>
      <c r="U71" s="632"/>
      <c r="V71" s="632"/>
      <c r="W71" s="632">
        <f>CCBASE!$I$41*B71/1000</f>
        <v>147.62892499999998</v>
      </c>
      <c r="X71" s="632"/>
      <c r="Y71" s="632"/>
      <c r="Z71" s="632"/>
      <c r="AA71" s="632"/>
      <c r="AB71" s="632"/>
      <c r="AC71" s="632"/>
      <c r="AD71" s="632">
        <f>CCBASE!$I$37*2</f>
        <v>240.12910599999998</v>
      </c>
    </row>
    <row r="72" spans="1:30" x14ac:dyDescent="0.2">
      <c r="A72" s="630" t="s">
        <v>133</v>
      </c>
      <c r="B72" s="630">
        <v>2750</v>
      </c>
      <c r="C72" s="630">
        <v>1500</v>
      </c>
      <c r="D72" s="630" t="str">
        <f t="shared" ref="D72" si="32">A72&amp;B72&amp;C72</f>
        <v>UVI27501500</v>
      </c>
      <c r="E72" s="1046">
        <f t="shared" si="30"/>
        <v>2476.6616045499995</v>
      </c>
      <c r="F72" s="631">
        <v>24</v>
      </c>
      <c r="G72" s="632">
        <f>F72*CCBASE!$B$51</f>
        <v>864</v>
      </c>
      <c r="H72" s="632">
        <f>CCBASE!$I$11*B72/1000</f>
        <v>442.73064604999996</v>
      </c>
      <c r="I72" s="632"/>
      <c r="J72" s="632"/>
      <c r="K72" s="632"/>
      <c r="L72" s="632">
        <f>CCBASE!$I$14*B72/1000</f>
        <v>575.77754849999997</v>
      </c>
      <c r="M72" s="632"/>
      <c r="N72" s="632"/>
      <c r="O72" s="632">
        <f>CCBASE!$I$45*B72/1000</f>
        <v>27.4175</v>
      </c>
      <c r="P72" s="632">
        <f>CCBASE!$I$9</f>
        <v>39.7111223</v>
      </c>
      <c r="Q72" s="632">
        <f>CCBASE!$H$51</f>
        <v>5.16</v>
      </c>
      <c r="R72" s="632">
        <f>CCBASE!$I$4</f>
        <v>8.3986041999999994</v>
      </c>
      <c r="S72" s="632">
        <f>CCBASE!$I$8</f>
        <v>16.25526</v>
      </c>
      <c r="T72" s="632">
        <f>CCBASE!$I$44</f>
        <v>94.69</v>
      </c>
      <c r="U72" s="632"/>
      <c r="V72" s="632"/>
      <c r="W72" s="632">
        <f>CCBASE!$I$41*B72/1000</f>
        <v>162.3918175</v>
      </c>
      <c r="X72" s="632"/>
      <c r="Y72" s="632"/>
      <c r="Z72" s="632"/>
      <c r="AA72" s="632"/>
      <c r="AB72" s="632"/>
      <c r="AC72" s="632"/>
      <c r="AD72" s="632">
        <f>CCBASE!$I$37*2</f>
        <v>240.12910599999998</v>
      </c>
    </row>
    <row r="73" spans="1:30" x14ac:dyDescent="0.2">
      <c r="A73" s="630" t="s">
        <v>133</v>
      </c>
      <c r="B73" s="630">
        <v>3000</v>
      </c>
      <c r="C73" s="630">
        <v>1500</v>
      </c>
      <c r="D73" s="630" t="str">
        <f t="shared" si="22"/>
        <v>UVI30001500</v>
      </c>
      <c r="E73" s="1046">
        <f t="shared" si="30"/>
        <v>2586.5086510999995</v>
      </c>
      <c r="F73" s="631">
        <v>24</v>
      </c>
      <c r="G73" s="632">
        <f>F73*CCBASE!$B$51</f>
        <v>864</v>
      </c>
      <c r="H73" s="632">
        <f>CCBASE!$I$11*B73/1000</f>
        <v>482.97888659999995</v>
      </c>
      <c r="I73" s="632"/>
      <c r="J73" s="632"/>
      <c r="K73" s="632"/>
      <c r="L73" s="632">
        <f>CCBASE!$I$14*B73/1000</f>
        <v>628.12096199999996</v>
      </c>
      <c r="M73" s="632"/>
      <c r="N73" s="632"/>
      <c r="O73" s="632">
        <f>CCBASE!$I$45*B73/1000</f>
        <v>29.910000000000004</v>
      </c>
      <c r="P73" s="632">
        <f>CCBASE!$I$9</f>
        <v>39.7111223</v>
      </c>
      <c r="Q73" s="632">
        <f>CCBASE!$H$51</f>
        <v>5.16</v>
      </c>
      <c r="R73" s="632">
        <f>CCBASE!$I$4</f>
        <v>8.3986041999999994</v>
      </c>
      <c r="S73" s="632">
        <f>CCBASE!$I$8</f>
        <v>16.25526</v>
      </c>
      <c r="T73" s="632">
        <f>CCBASE!$I$44</f>
        <v>94.69</v>
      </c>
      <c r="U73" s="632"/>
      <c r="V73" s="632"/>
      <c r="W73" s="632">
        <f>CCBASE!$I$41*B73/1000</f>
        <v>177.15470999999999</v>
      </c>
      <c r="X73" s="632"/>
      <c r="Y73" s="632"/>
      <c r="Z73" s="632"/>
      <c r="AA73" s="632"/>
      <c r="AB73" s="632"/>
      <c r="AC73" s="632"/>
      <c r="AD73" s="632">
        <f>CCBASE!$I$37*2</f>
        <v>240.12910599999998</v>
      </c>
    </row>
    <row r="74" spans="1:30" x14ac:dyDescent="0.2">
      <c r="A74" s="630" t="s">
        <v>133</v>
      </c>
      <c r="B74" s="630">
        <v>1000</v>
      </c>
      <c r="C74" s="630">
        <v>1750</v>
      </c>
      <c r="D74" s="630" t="str">
        <f t="shared" si="22"/>
        <v>UVI10001750</v>
      </c>
      <c r="E74" s="1046">
        <f t="shared" si="30"/>
        <v>1562.4504523999999</v>
      </c>
      <c r="F74" s="631">
        <v>19</v>
      </c>
      <c r="G74" s="632">
        <f>F74*CCBASE!$B$51</f>
        <v>684</v>
      </c>
      <c r="H74" s="632">
        <f>CCBASE!$I$11*B74/1000</f>
        <v>160.99296219999999</v>
      </c>
      <c r="I74" s="632"/>
      <c r="J74" s="632"/>
      <c r="K74" s="632"/>
      <c r="L74" s="632">
        <f>CCBASE!$I$14*B74/1000</f>
        <v>209.37365399999999</v>
      </c>
      <c r="M74" s="632"/>
      <c r="N74" s="632"/>
      <c r="O74" s="632">
        <f>CCBASE!$I$45*B74/1000</f>
        <v>9.9700000000000006</v>
      </c>
      <c r="P74" s="632">
        <f>CCBASE!$I$10</f>
        <v>30.661922000000001</v>
      </c>
      <c r="Q74" s="632">
        <f>CCBASE!$H$51</f>
        <v>5.16</v>
      </c>
      <c r="R74" s="632">
        <f>CCBASE!$I$4</f>
        <v>8.3986041999999994</v>
      </c>
      <c r="S74" s="632">
        <f>CCBASE!$I$8</f>
        <v>16.25526</v>
      </c>
      <c r="T74" s="632">
        <f>CCBASE!$I$44</f>
        <v>94.69</v>
      </c>
      <c r="U74" s="631"/>
      <c r="V74" s="631"/>
      <c r="W74" s="632">
        <f>CCBASE!$I$42*B74/1000</f>
        <v>70.880589999999998</v>
      </c>
      <c r="X74" s="632"/>
      <c r="Y74" s="632"/>
      <c r="Z74" s="632"/>
      <c r="AA74" s="632"/>
      <c r="AB74" s="632"/>
      <c r="AC74" s="632"/>
      <c r="AD74" s="632">
        <f>CCBASE!$I$38*2</f>
        <v>272.06745999999998</v>
      </c>
    </row>
    <row r="75" spans="1:30" x14ac:dyDescent="0.2">
      <c r="A75" s="630" t="s">
        <v>133</v>
      </c>
      <c r="B75" s="630">
        <v>1250</v>
      </c>
      <c r="C75" s="630">
        <v>1750</v>
      </c>
      <c r="D75" s="630" t="str">
        <f t="shared" ref="D75" si="33">A75&amp;B75&amp;C75</f>
        <v>UVI12501750</v>
      </c>
      <c r="E75" s="1046">
        <f t="shared" si="30"/>
        <v>1675.2547539499999</v>
      </c>
      <c r="F75" s="631">
        <v>19</v>
      </c>
      <c r="G75" s="632">
        <f>F75*CCBASE!$B$51</f>
        <v>684</v>
      </c>
      <c r="H75" s="632">
        <f>CCBASE!$I$11*B75/1000</f>
        <v>201.24120274999999</v>
      </c>
      <c r="I75" s="632"/>
      <c r="J75" s="632"/>
      <c r="K75" s="632"/>
      <c r="L75" s="632">
        <f>CCBASE!$I$14*B75/1000</f>
        <v>261.71706749999998</v>
      </c>
      <c r="M75" s="632"/>
      <c r="N75" s="632"/>
      <c r="O75" s="632">
        <f>CCBASE!$I$45*B75/1000</f>
        <v>12.4625</v>
      </c>
      <c r="P75" s="632">
        <f>CCBASE!$I$10</f>
        <v>30.661922000000001</v>
      </c>
      <c r="Q75" s="632">
        <f>CCBASE!$H$51</f>
        <v>5.16</v>
      </c>
      <c r="R75" s="632">
        <f>CCBASE!$I$4</f>
        <v>8.3986041999999994</v>
      </c>
      <c r="S75" s="632">
        <f>CCBASE!$I$8</f>
        <v>16.25526</v>
      </c>
      <c r="T75" s="632">
        <f>CCBASE!$I$44</f>
        <v>94.69</v>
      </c>
      <c r="U75" s="631"/>
      <c r="V75" s="631"/>
      <c r="W75" s="632">
        <f>CCBASE!$I$42*B75/1000</f>
        <v>88.600737500000008</v>
      </c>
      <c r="X75" s="632"/>
      <c r="Y75" s="632"/>
      <c r="Z75" s="632"/>
      <c r="AA75" s="632"/>
      <c r="AB75" s="632"/>
      <c r="AC75" s="632"/>
      <c r="AD75" s="632">
        <f>CCBASE!$I$38*2</f>
        <v>272.06745999999998</v>
      </c>
    </row>
    <row r="76" spans="1:30" x14ac:dyDescent="0.2">
      <c r="A76" s="630" t="s">
        <v>133</v>
      </c>
      <c r="B76" s="630">
        <v>1500</v>
      </c>
      <c r="C76" s="630">
        <v>1750</v>
      </c>
      <c r="D76" s="630" t="str">
        <f t="shared" si="22"/>
        <v>UVI15001750</v>
      </c>
      <c r="E76" s="1046">
        <f t="shared" si="30"/>
        <v>1788.0590554999999</v>
      </c>
      <c r="F76" s="631">
        <v>19</v>
      </c>
      <c r="G76" s="632">
        <f>F76*CCBASE!$B$51</f>
        <v>684</v>
      </c>
      <c r="H76" s="632">
        <f>CCBASE!$I$11*B76/1000</f>
        <v>241.48944329999998</v>
      </c>
      <c r="I76" s="632"/>
      <c r="J76" s="632"/>
      <c r="K76" s="632"/>
      <c r="L76" s="632">
        <f>CCBASE!$I$14*B76/1000</f>
        <v>314.06048099999998</v>
      </c>
      <c r="M76" s="632"/>
      <c r="N76" s="632"/>
      <c r="O76" s="632">
        <f>CCBASE!$I$45*B76/1000</f>
        <v>14.955000000000002</v>
      </c>
      <c r="P76" s="632">
        <f>CCBASE!$I$10</f>
        <v>30.661922000000001</v>
      </c>
      <c r="Q76" s="632">
        <f>CCBASE!$H$51</f>
        <v>5.16</v>
      </c>
      <c r="R76" s="632">
        <f>CCBASE!$I$4</f>
        <v>8.3986041999999994</v>
      </c>
      <c r="S76" s="632">
        <f>CCBASE!$I$8</f>
        <v>16.25526</v>
      </c>
      <c r="T76" s="632">
        <f>CCBASE!$I$44</f>
        <v>94.69</v>
      </c>
      <c r="U76" s="631"/>
      <c r="V76" s="631"/>
      <c r="W76" s="632">
        <f>CCBASE!$I$42*B76/1000</f>
        <v>106.32088499999999</v>
      </c>
      <c r="X76" s="632"/>
      <c r="Y76" s="632"/>
      <c r="Z76" s="632"/>
      <c r="AA76" s="632"/>
      <c r="AB76" s="632"/>
      <c r="AC76" s="632"/>
      <c r="AD76" s="632">
        <f>CCBASE!$I$38*2</f>
        <v>272.06745999999998</v>
      </c>
    </row>
    <row r="77" spans="1:30" x14ac:dyDescent="0.2">
      <c r="A77" s="630" t="s">
        <v>133</v>
      </c>
      <c r="B77" s="630">
        <v>1750</v>
      </c>
      <c r="C77" s="630">
        <v>1750</v>
      </c>
      <c r="D77" s="630" t="str">
        <f t="shared" ref="D77" si="34">A77&amp;B77&amp;C77</f>
        <v>UVI17501750</v>
      </c>
      <c r="E77" s="1046">
        <f t="shared" si="30"/>
        <v>1909.9125573499998</v>
      </c>
      <c r="F77" s="631">
        <v>19</v>
      </c>
      <c r="G77" s="632">
        <f>F77*CCBASE!$B$51</f>
        <v>684</v>
      </c>
      <c r="H77" s="632">
        <f>CCBASE!$I$11*B77/1000</f>
        <v>281.73768385</v>
      </c>
      <c r="I77" s="632"/>
      <c r="J77" s="632"/>
      <c r="K77" s="632"/>
      <c r="L77" s="632">
        <f>CCBASE!$I$14*B77/1000</f>
        <v>366.40389449999998</v>
      </c>
      <c r="M77" s="632"/>
      <c r="N77" s="632"/>
      <c r="O77" s="632">
        <f>CCBASE!$I$45*B77/1000</f>
        <v>17.447500000000002</v>
      </c>
      <c r="P77" s="632">
        <f>CCBASE!$I$9</f>
        <v>39.7111223</v>
      </c>
      <c r="Q77" s="632">
        <f>CCBASE!$H$51</f>
        <v>5.16</v>
      </c>
      <c r="R77" s="632">
        <f>CCBASE!$I$4</f>
        <v>8.3986041999999994</v>
      </c>
      <c r="S77" s="632">
        <f>CCBASE!$I$8</f>
        <v>16.25526</v>
      </c>
      <c r="T77" s="632">
        <f>CCBASE!$I$44</f>
        <v>94.69</v>
      </c>
      <c r="U77" s="631"/>
      <c r="V77" s="631"/>
      <c r="W77" s="632">
        <f>CCBASE!$I$42*B77/1000</f>
        <v>124.0410325</v>
      </c>
      <c r="X77" s="632"/>
      <c r="Y77" s="632"/>
      <c r="Z77" s="632"/>
      <c r="AA77" s="632"/>
      <c r="AB77" s="632"/>
      <c r="AC77" s="632"/>
      <c r="AD77" s="632">
        <f>CCBASE!$I$38*2</f>
        <v>272.06745999999998</v>
      </c>
    </row>
    <row r="78" spans="1:30" x14ac:dyDescent="0.2">
      <c r="A78" s="630" t="s">
        <v>133</v>
      </c>
      <c r="B78" s="630">
        <v>2000</v>
      </c>
      <c r="C78" s="630">
        <v>1750</v>
      </c>
      <c r="D78" s="630" t="str">
        <f t="shared" si="22"/>
        <v>UVI20001750</v>
      </c>
      <c r="E78" s="1046">
        <f t="shared" si="30"/>
        <v>2022.7168588999998</v>
      </c>
      <c r="F78" s="631">
        <v>19</v>
      </c>
      <c r="G78" s="632">
        <f>F78*CCBASE!$B$51</f>
        <v>684</v>
      </c>
      <c r="H78" s="632">
        <f>CCBASE!$I$11*B78/1000</f>
        <v>321.98592439999999</v>
      </c>
      <c r="I78" s="632"/>
      <c r="J78" s="632"/>
      <c r="K78" s="632"/>
      <c r="L78" s="632">
        <f>CCBASE!$I$14*B78/1000</f>
        <v>418.74730799999998</v>
      </c>
      <c r="M78" s="632"/>
      <c r="N78" s="632"/>
      <c r="O78" s="632">
        <f>CCBASE!$I$45*B78/1000</f>
        <v>19.940000000000001</v>
      </c>
      <c r="P78" s="632">
        <f>CCBASE!$I$9</f>
        <v>39.7111223</v>
      </c>
      <c r="Q78" s="632">
        <f>CCBASE!$H$51</f>
        <v>5.16</v>
      </c>
      <c r="R78" s="632">
        <f>CCBASE!$I$4</f>
        <v>8.3986041999999994</v>
      </c>
      <c r="S78" s="632">
        <f>CCBASE!$I$8</f>
        <v>16.25526</v>
      </c>
      <c r="T78" s="632">
        <f>CCBASE!$I$44</f>
        <v>94.69</v>
      </c>
      <c r="U78" s="631"/>
      <c r="V78" s="631"/>
      <c r="W78" s="632">
        <f>CCBASE!$I$42*B78/1000</f>
        <v>141.76118</v>
      </c>
      <c r="X78" s="632"/>
      <c r="Y78" s="632"/>
      <c r="Z78" s="632"/>
      <c r="AA78" s="632"/>
      <c r="AB78" s="632"/>
      <c r="AC78" s="632"/>
      <c r="AD78" s="632">
        <f>CCBASE!$I$38*2</f>
        <v>272.06745999999998</v>
      </c>
    </row>
    <row r="79" spans="1:30" x14ac:dyDescent="0.2">
      <c r="A79" s="630" t="s">
        <v>133</v>
      </c>
      <c r="B79" s="630">
        <v>2250</v>
      </c>
      <c r="C79" s="630">
        <v>1750</v>
      </c>
      <c r="D79" s="630" t="str">
        <f t="shared" ref="D79" si="35">A79&amp;B79&amp;C79</f>
        <v>UVI22501750</v>
      </c>
      <c r="E79" s="1046">
        <f t="shared" si="30"/>
        <v>2315.5211604499996</v>
      </c>
      <c r="F79" s="631">
        <v>24</v>
      </c>
      <c r="G79" s="632">
        <f>F79*CCBASE!$B$51</f>
        <v>864</v>
      </c>
      <c r="H79" s="632">
        <f>CCBASE!$I$11*B79/1000</f>
        <v>362.23416494999998</v>
      </c>
      <c r="I79" s="632"/>
      <c r="J79" s="632"/>
      <c r="K79" s="632"/>
      <c r="L79" s="632">
        <f>CCBASE!$I$14*B79/1000</f>
        <v>471.09072149999997</v>
      </c>
      <c r="M79" s="632"/>
      <c r="N79" s="632"/>
      <c r="O79" s="632">
        <f>CCBASE!$I$45*B79/1000</f>
        <v>22.432500000000001</v>
      </c>
      <c r="P79" s="632">
        <f>CCBASE!$I$9</f>
        <v>39.7111223</v>
      </c>
      <c r="Q79" s="632">
        <f>CCBASE!$H$51</f>
        <v>5.16</v>
      </c>
      <c r="R79" s="632">
        <f>CCBASE!$I$4</f>
        <v>8.3986041999999994</v>
      </c>
      <c r="S79" s="632">
        <f>CCBASE!$I$8</f>
        <v>16.25526</v>
      </c>
      <c r="T79" s="632">
        <f>CCBASE!$I$44</f>
        <v>94.69</v>
      </c>
      <c r="U79" s="631"/>
      <c r="V79" s="631"/>
      <c r="W79" s="632">
        <f>CCBASE!$I$42*B79/1000</f>
        <v>159.48132749999999</v>
      </c>
      <c r="X79" s="632"/>
      <c r="Y79" s="632"/>
      <c r="Z79" s="632"/>
      <c r="AA79" s="632"/>
      <c r="AB79" s="632"/>
      <c r="AC79" s="632"/>
      <c r="AD79" s="632">
        <f>CCBASE!$I$38*2</f>
        <v>272.06745999999998</v>
      </c>
    </row>
    <row r="80" spans="1:30" x14ac:dyDescent="0.2">
      <c r="A80" s="630" t="s">
        <v>133</v>
      </c>
      <c r="B80" s="630">
        <v>2500</v>
      </c>
      <c r="C80" s="630">
        <v>1750</v>
      </c>
      <c r="D80" s="630" t="str">
        <f t="shared" si="22"/>
        <v>UVI25001750</v>
      </c>
      <c r="E80" s="1046">
        <f t="shared" si="30"/>
        <v>2428.3254619999998</v>
      </c>
      <c r="F80" s="631">
        <v>24</v>
      </c>
      <c r="G80" s="632">
        <f>F80*CCBASE!$B$51</f>
        <v>864</v>
      </c>
      <c r="H80" s="632">
        <f>CCBASE!$I$11*B80/1000</f>
        <v>402.48240549999997</v>
      </c>
      <c r="I80" s="632"/>
      <c r="J80" s="632"/>
      <c r="K80" s="632"/>
      <c r="L80" s="632">
        <f>CCBASE!$I$14*B80/1000</f>
        <v>523.43413499999997</v>
      </c>
      <c r="M80" s="632"/>
      <c r="N80" s="632"/>
      <c r="O80" s="632">
        <f>CCBASE!$I$45*B80/1000</f>
        <v>24.925000000000001</v>
      </c>
      <c r="P80" s="632">
        <f>CCBASE!$I$9</f>
        <v>39.7111223</v>
      </c>
      <c r="Q80" s="632">
        <f>CCBASE!$H$51</f>
        <v>5.16</v>
      </c>
      <c r="R80" s="632">
        <f>CCBASE!$I$4</f>
        <v>8.3986041999999994</v>
      </c>
      <c r="S80" s="632">
        <f>CCBASE!$I$8</f>
        <v>16.25526</v>
      </c>
      <c r="T80" s="632">
        <f>CCBASE!$I$44</f>
        <v>94.69</v>
      </c>
      <c r="U80" s="631"/>
      <c r="V80" s="631"/>
      <c r="W80" s="632">
        <f>CCBASE!$I$42*B80/1000</f>
        <v>177.20147500000002</v>
      </c>
      <c r="X80" s="632"/>
      <c r="Y80" s="632"/>
      <c r="Z80" s="632"/>
      <c r="AA80" s="632"/>
      <c r="AB80" s="632"/>
      <c r="AC80" s="632"/>
      <c r="AD80" s="632">
        <f>CCBASE!$I$38*2</f>
        <v>272.06745999999998</v>
      </c>
    </row>
    <row r="81" spans="1:30" x14ac:dyDescent="0.2">
      <c r="A81" s="630" t="s">
        <v>133</v>
      </c>
      <c r="B81" s="630">
        <v>2750</v>
      </c>
      <c r="C81" s="630">
        <v>1750</v>
      </c>
      <c r="D81" s="630" t="str">
        <f t="shared" ref="D81" si="36">A81&amp;B81&amp;C81</f>
        <v>UVI27501750</v>
      </c>
      <c r="E81" s="1046">
        <f t="shared" si="30"/>
        <v>2541.1297635499996</v>
      </c>
      <c r="F81" s="631">
        <v>24</v>
      </c>
      <c r="G81" s="632">
        <f>F81*CCBASE!$B$51</f>
        <v>864</v>
      </c>
      <c r="H81" s="632">
        <f>CCBASE!$I$11*B81/1000</f>
        <v>442.73064604999996</v>
      </c>
      <c r="I81" s="632"/>
      <c r="J81" s="632"/>
      <c r="K81" s="632"/>
      <c r="L81" s="632">
        <f>CCBASE!$I$14*B81/1000</f>
        <v>575.77754849999997</v>
      </c>
      <c r="M81" s="632"/>
      <c r="N81" s="632"/>
      <c r="O81" s="632">
        <f>CCBASE!$I$45*B81/1000</f>
        <v>27.4175</v>
      </c>
      <c r="P81" s="632">
        <f>CCBASE!$I$9</f>
        <v>39.7111223</v>
      </c>
      <c r="Q81" s="632">
        <f>CCBASE!$H$51</f>
        <v>5.16</v>
      </c>
      <c r="R81" s="632">
        <f>CCBASE!$I$4</f>
        <v>8.3986041999999994</v>
      </c>
      <c r="S81" s="632">
        <f>CCBASE!$I$8</f>
        <v>16.25526</v>
      </c>
      <c r="T81" s="632">
        <f>CCBASE!$I$44</f>
        <v>94.69</v>
      </c>
      <c r="U81" s="631"/>
      <c r="V81" s="631"/>
      <c r="W81" s="632">
        <f>CCBASE!$I$42*B81/1000</f>
        <v>194.92162249999998</v>
      </c>
      <c r="X81" s="632"/>
      <c r="Y81" s="632"/>
      <c r="Z81" s="632"/>
      <c r="AA81" s="632"/>
      <c r="AB81" s="632"/>
      <c r="AC81" s="632"/>
      <c r="AD81" s="632">
        <f>CCBASE!$I$38*2</f>
        <v>272.06745999999998</v>
      </c>
    </row>
    <row r="82" spans="1:30" x14ac:dyDescent="0.2">
      <c r="A82" s="630" t="s">
        <v>133</v>
      </c>
      <c r="B82" s="630">
        <v>3000</v>
      </c>
      <c r="C82" s="630">
        <v>1750</v>
      </c>
      <c r="D82" s="630" t="str">
        <f t="shared" si="22"/>
        <v>UVI30001750</v>
      </c>
      <c r="E82" s="1046">
        <f t="shared" si="30"/>
        <v>2653.9340651000002</v>
      </c>
      <c r="F82" s="631">
        <v>24</v>
      </c>
      <c r="G82" s="632">
        <f>F82*CCBASE!$B$51</f>
        <v>864</v>
      </c>
      <c r="H82" s="632">
        <f>CCBASE!$I$11*B82/1000</f>
        <v>482.97888659999995</v>
      </c>
      <c r="I82" s="632"/>
      <c r="J82" s="632"/>
      <c r="K82" s="632"/>
      <c r="L82" s="632">
        <f>CCBASE!$I$14*B82/1000</f>
        <v>628.12096199999996</v>
      </c>
      <c r="M82" s="632"/>
      <c r="N82" s="632"/>
      <c r="O82" s="632">
        <f>CCBASE!$I$45*B82/1000</f>
        <v>29.910000000000004</v>
      </c>
      <c r="P82" s="632">
        <f>CCBASE!$I$9</f>
        <v>39.7111223</v>
      </c>
      <c r="Q82" s="632">
        <f>CCBASE!$H$51</f>
        <v>5.16</v>
      </c>
      <c r="R82" s="632">
        <f>CCBASE!$I$4</f>
        <v>8.3986041999999994</v>
      </c>
      <c r="S82" s="632">
        <f>CCBASE!$I$8</f>
        <v>16.25526</v>
      </c>
      <c r="T82" s="632">
        <f>CCBASE!$I$44</f>
        <v>94.69</v>
      </c>
      <c r="U82" s="631"/>
      <c r="V82" s="631"/>
      <c r="W82" s="632">
        <f>CCBASE!$I$42*B82/1000</f>
        <v>212.64176999999998</v>
      </c>
      <c r="X82" s="632"/>
      <c r="Y82" s="632"/>
      <c r="Z82" s="632"/>
      <c r="AA82" s="632"/>
      <c r="AB82" s="632"/>
      <c r="AC82" s="632"/>
      <c r="AD82" s="632">
        <f>CCBASE!$I$38*2</f>
        <v>272.06745999999998</v>
      </c>
    </row>
    <row r="83" spans="1:30" x14ac:dyDescent="0.2">
      <c r="A83" s="630" t="s">
        <v>133</v>
      </c>
      <c r="B83" s="630">
        <v>1000</v>
      </c>
      <c r="C83" s="630">
        <v>2000</v>
      </c>
      <c r="D83" s="630" t="str">
        <f t="shared" ref="D83:D84" si="37">A83&amp;B83&amp;C83</f>
        <v>UVI10002000</v>
      </c>
      <c r="E83" s="1046">
        <f t="shared" si="30"/>
        <v>1619.2297483999998</v>
      </c>
      <c r="F83" s="631">
        <v>19</v>
      </c>
      <c r="G83" s="632">
        <f>F83*CCBASE!$B$51</f>
        <v>684</v>
      </c>
      <c r="H83" s="632">
        <f>CCBASE!$I$11*B83/1000</f>
        <v>160.99296219999999</v>
      </c>
      <c r="I83" s="632"/>
      <c r="J83" s="632"/>
      <c r="K83" s="632"/>
      <c r="L83" s="632">
        <f>CCBASE!$I$14*B83/1000</f>
        <v>209.37365399999999</v>
      </c>
      <c r="M83" s="632"/>
      <c r="N83" s="632"/>
      <c r="O83" s="632">
        <f>CCBASE!$I$45*B83/1000</f>
        <v>9.9700000000000006</v>
      </c>
      <c r="P83" s="632">
        <f>CCBASE!$I$10</f>
        <v>30.661922000000001</v>
      </c>
      <c r="Q83" s="632">
        <f>CCBASE!$H$51</f>
        <v>5.16</v>
      </c>
      <c r="R83" s="632">
        <f>CCBASE!$I$4</f>
        <v>8.3986041999999994</v>
      </c>
      <c r="S83" s="632">
        <f>CCBASE!$I$8</f>
        <v>16.25526</v>
      </c>
      <c r="T83" s="632">
        <f>CCBASE!$I$44</f>
        <v>94.69</v>
      </c>
      <c r="U83" s="631"/>
      <c r="V83" s="631"/>
      <c r="W83" s="632">
        <f>CCBASE!$I$43*B83/1000</f>
        <v>88.624119999999991</v>
      </c>
      <c r="X83" s="632"/>
      <c r="Y83" s="632"/>
      <c r="Z83" s="632"/>
      <c r="AA83" s="632"/>
      <c r="AB83" s="632"/>
      <c r="AC83" s="632"/>
      <c r="AD83" s="632">
        <f>CCBASE!$I$39*2</f>
        <v>311.10322599999995</v>
      </c>
    </row>
    <row r="84" spans="1:30" x14ac:dyDescent="0.2">
      <c r="A84" s="630" t="s">
        <v>133</v>
      </c>
      <c r="B84" s="630">
        <v>1250</v>
      </c>
      <c r="C84" s="630">
        <v>2000</v>
      </c>
      <c r="D84" s="630" t="str">
        <f t="shared" si="37"/>
        <v>UVI12502000</v>
      </c>
      <c r="E84" s="1046">
        <f t="shared" si="30"/>
        <v>1736.46993245</v>
      </c>
      <c r="F84" s="631">
        <v>19</v>
      </c>
      <c r="G84" s="632">
        <f>F84*CCBASE!$B$51</f>
        <v>684</v>
      </c>
      <c r="H84" s="632">
        <f>CCBASE!$I$11*B84/1000</f>
        <v>201.24120274999999</v>
      </c>
      <c r="I84" s="632"/>
      <c r="J84" s="632"/>
      <c r="K84" s="632"/>
      <c r="L84" s="632">
        <f>CCBASE!$I$14*B84/1000</f>
        <v>261.71706749999998</v>
      </c>
      <c r="M84" s="632"/>
      <c r="N84" s="632"/>
      <c r="O84" s="632">
        <f>CCBASE!$I$45*B84/1000</f>
        <v>12.4625</v>
      </c>
      <c r="P84" s="632">
        <f>CCBASE!$I$10</f>
        <v>30.661922000000001</v>
      </c>
      <c r="Q84" s="632">
        <f>CCBASE!$H$51</f>
        <v>5.16</v>
      </c>
      <c r="R84" s="632">
        <f>CCBASE!$I$4</f>
        <v>8.3986041999999994</v>
      </c>
      <c r="S84" s="632">
        <f>CCBASE!$I$8</f>
        <v>16.25526</v>
      </c>
      <c r="T84" s="632">
        <f>CCBASE!$I$44</f>
        <v>94.69</v>
      </c>
      <c r="U84" s="631"/>
      <c r="V84" s="631"/>
      <c r="W84" s="632">
        <f>CCBASE!$I$43*B84/1000</f>
        <v>110.78014999999999</v>
      </c>
      <c r="X84" s="632"/>
      <c r="Y84" s="632"/>
      <c r="Z84" s="632"/>
      <c r="AA84" s="632"/>
      <c r="AB84" s="632"/>
      <c r="AC84" s="632"/>
      <c r="AD84" s="632">
        <f>CCBASE!$I$39*2</f>
        <v>311.10322599999995</v>
      </c>
    </row>
    <row r="85" spans="1:30" x14ac:dyDescent="0.2">
      <c r="A85" s="630" t="s">
        <v>133</v>
      </c>
      <c r="B85" s="630">
        <v>1500</v>
      </c>
      <c r="C85" s="630">
        <v>2000</v>
      </c>
      <c r="D85" s="630" t="str">
        <f t="shared" ref="D85" si="38">A85&amp;B85&amp;C85</f>
        <v>UVI15002000</v>
      </c>
      <c r="E85" s="1046">
        <f t="shared" si="30"/>
        <v>1853.7101164999997</v>
      </c>
      <c r="F85" s="631">
        <v>19</v>
      </c>
      <c r="G85" s="632">
        <f>F85*CCBASE!$B$51</f>
        <v>684</v>
      </c>
      <c r="H85" s="632">
        <f>CCBASE!$I$11*B85/1000</f>
        <v>241.48944329999998</v>
      </c>
      <c r="I85" s="632"/>
      <c r="J85" s="632"/>
      <c r="K85" s="632"/>
      <c r="L85" s="632">
        <f>CCBASE!$I$14*B85/1000</f>
        <v>314.06048099999998</v>
      </c>
      <c r="M85" s="632"/>
      <c r="N85" s="632"/>
      <c r="O85" s="632">
        <f>CCBASE!$I$45*B85/1000</f>
        <v>14.955000000000002</v>
      </c>
      <c r="P85" s="632">
        <f>CCBASE!$I$10</f>
        <v>30.661922000000001</v>
      </c>
      <c r="Q85" s="632">
        <f>CCBASE!$H$51</f>
        <v>5.16</v>
      </c>
      <c r="R85" s="632">
        <f>CCBASE!$I$4</f>
        <v>8.3986041999999994</v>
      </c>
      <c r="S85" s="632">
        <f>CCBASE!$I$8</f>
        <v>16.25526</v>
      </c>
      <c r="T85" s="632">
        <f>CCBASE!$I$44</f>
        <v>94.69</v>
      </c>
      <c r="U85" s="631"/>
      <c r="V85" s="631"/>
      <c r="W85" s="632">
        <f>CCBASE!$I$43*B85/1000</f>
        <v>132.93617999999998</v>
      </c>
      <c r="X85" s="632"/>
      <c r="Y85" s="632"/>
      <c r="Z85" s="632"/>
      <c r="AA85" s="632"/>
      <c r="AB85" s="632"/>
      <c r="AC85" s="632"/>
      <c r="AD85" s="632">
        <f>CCBASE!$I$39*2</f>
        <v>311.10322599999995</v>
      </c>
    </row>
    <row r="86" spans="1:30" x14ac:dyDescent="0.2">
      <c r="A86" s="630" t="s">
        <v>133</v>
      </c>
      <c r="B86" s="630">
        <v>1750</v>
      </c>
      <c r="C86" s="630">
        <v>2000</v>
      </c>
      <c r="D86" s="630" t="str">
        <f t="shared" ref="D86" si="39">A86&amp;B86&amp;C86</f>
        <v>UVI17502000</v>
      </c>
      <c r="E86" s="1046">
        <f t="shared" si="30"/>
        <v>1979.9995008499998</v>
      </c>
      <c r="F86" s="631">
        <v>19</v>
      </c>
      <c r="G86" s="632">
        <f>F86*CCBASE!$B$51</f>
        <v>684</v>
      </c>
      <c r="H86" s="632">
        <f>CCBASE!$I$11*B86/1000</f>
        <v>281.73768385</v>
      </c>
      <c r="I86" s="632"/>
      <c r="J86" s="632"/>
      <c r="K86" s="632"/>
      <c r="L86" s="632">
        <f>CCBASE!$I$14*B86/1000</f>
        <v>366.40389449999998</v>
      </c>
      <c r="M86" s="632"/>
      <c r="N86" s="632"/>
      <c r="O86" s="632">
        <f>CCBASE!$I$45*B86/1000</f>
        <v>17.447500000000002</v>
      </c>
      <c r="P86" s="632">
        <f>CCBASE!$I$9</f>
        <v>39.7111223</v>
      </c>
      <c r="Q86" s="632">
        <f>CCBASE!$H$51</f>
        <v>5.16</v>
      </c>
      <c r="R86" s="632">
        <f>CCBASE!$I$4</f>
        <v>8.3986041999999994</v>
      </c>
      <c r="S86" s="632">
        <f>CCBASE!$I$8</f>
        <v>16.25526</v>
      </c>
      <c r="T86" s="632">
        <f>CCBASE!$I$44</f>
        <v>94.69</v>
      </c>
      <c r="U86" s="631"/>
      <c r="V86" s="631"/>
      <c r="W86" s="632">
        <f>CCBASE!$I$43*B86/1000</f>
        <v>155.09220999999999</v>
      </c>
      <c r="X86" s="632"/>
      <c r="Y86" s="632"/>
      <c r="Z86" s="632"/>
      <c r="AA86" s="632"/>
      <c r="AB86" s="632"/>
      <c r="AC86" s="632"/>
      <c r="AD86" s="632">
        <f>CCBASE!$I$39*2</f>
        <v>311.10322599999995</v>
      </c>
    </row>
    <row r="87" spans="1:30" x14ac:dyDescent="0.2">
      <c r="A87" s="630" t="s">
        <v>133</v>
      </c>
      <c r="B87" s="630">
        <v>2000</v>
      </c>
      <c r="C87" s="630">
        <v>2000</v>
      </c>
      <c r="D87" s="630" t="str">
        <f t="shared" ref="D87" si="40">A87&amp;B87&amp;C87</f>
        <v>UVI20002000</v>
      </c>
      <c r="E87" s="1046">
        <f t="shared" si="30"/>
        <v>2097.2396848999997</v>
      </c>
      <c r="F87" s="631">
        <v>19</v>
      </c>
      <c r="G87" s="632">
        <f>F87*CCBASE!$B$51</f>
        <v>684</v>
      </c>
      <c r="H87" s="632">
        <f>CCBASE!$I$11*B87/1000</f>
        <v>321.98592439999999</v>
      </c>
      <c r="I87" s="632"/>
      <c r="J87" s="632"/>
      <c r="K87" s="632"/>
      <c r="L87" s="632">
        <f>CCBASE!$I$14*B87/1000</f>
        <v>418.74730799999998</v>
      </c>
      <c r="M87" s="632"/>
      <c r="N87" s="632"/>
      <c r="O87" s="632">
        <f>CCBASE!$I$45*B87/1000</f>
        <v>19.940000000000001</v>
      </c>
      <c r="P87" s="632">
        <f>CCBASE!$I$9</f>
        <v>39.7111223</v>
      </c>
      <c r="Q87" s="632">
        <f>CCBASE!$H$51</f>
        <v>5.16</v>
      </c>
      <c r="R87" s="632">
        <f>CCBASE!$I$4</f>
        <v>8.3986041999999994</v>
      </c>
      <c r="S87" s="632">
        <f>CCBASE!$I$8</f>
        <v>16.25526</v>
      </c>
      <c r="T87" s="632">
        <f>CCBASE!$I$44</f>
        <v>94.69</v>
      </c>
      <c r="U87" s="631"/>
      <c r="V87" s="631"/>
      <c r="W87" s="632">
        <f>CCBASE!$I$43*B87/1000</f>
        <v>177.24823999999998</v>
      </c>
      <c r="X87" s="632"/>
      <c r="Y87" s="632"/>
      <c r="Z87" s="632"/>
      <c r="AA87" s="632"/>
      <c r="AB87" s="632"/>
      <c r="AC87" s="632"/>
      <c r="AD87" s="632">
        <f>CCBASE!$I$39*2</f>
        <v>311.10322599999995</v>
      </c>
    </row>
    <row r="88" spans="1:30" x14ac:dyDescent="0.2">
      <c r="A88" s="630" t="s">
        <v>133</v>
      </c>
      <c r="B88" s="630">
        <v>2250</v>
      </c>
      <c r="C88" s="630">
        <v>2000</v>
      </c>
      <c r="D88" s="630" t="str">
        <f t="shared" ref="D88:D90" si="41">A88&amp;B88&amp;C88</f>
        <v>UVI22502000</v>
      </c>
      <c r="E88" s="1046">
        <f t="shared" si="30"/>
        <v>2394.4798689499994</v>
      </c>
      <c r="F88" s="631">
        <v>24</v>
      </c>
      <c r="G88" s="632">
        <f>F88*CCBASE!$B$51</f>
        <v>864</v>
      </c>
      <c r="H88" s="632">
        <f>CCBASE!$I$11*B88/1000</f>
        <v>362.23416494999998</v>
      </c>
      <c r="I88" s="632"/>
      <c r="J88" s="632"/>
      <c r="K88" s="632"/>
      <c r="L88" s="632">
        <f>CCBASE!$I$14*B88/1000</f>
        <v>471.09072149999997</v>
      </c>
      <c r="M88" s="632"/>
      <c r="N88" s="632"/>
      <c r="O88" s="632">
        <f>CCBASE!$I$45*B88/1000</f>
        <v>22.432500000000001</v>
      </c>
      <c r="P88" s="632">
        <f>CCBASE!$I$9</f>
        <v>39.7111223</v>
      </c>
      <c r="Q88" s="632">
        <f>CCBASE!$H$51</f>
        <v>5.16</v>
      </c>
      <c r="R88" s="632">
        <f>CCBASE!$I$4</f>
        <v>8.3986041999999994</v>
      </c>
      <c r="S88" s="632">
        <f>CCBASE!$I$8</f>
        <v>16.25526</v>
      </c>
      <c r="T88" s="632">
        <f>CCBASE!$I$44</f>
        <v>94.69</v>
      </c>
      <c r="U88" s="631"/>
      <c r="V88" s="631"/>
      <c r="W88" s="632">
        <f>CCBASE!$I$43*B88/1000</f>
        <v>199.40427</v>
      </c>
      <c r="X88" s="632"/>
      <c r="Y88" s="632"/>
      <c r="Z88" s="632"/>
      <c r="AA88" s="632"/>
      <c r="AB88" s="632"/>
      <c r="AC88" s="632"/>
      <c r="AD88" s="632">
        <f>CCBASE!$I$39*2</f>
        <v>311.10322599999995</v>
      </c>
    </row>
    <row r="89" spans="1:30" x14ac:dyDescent="0.2">
      <c r="A89" s="630" t="s">
        <v>133</v>
      </c>
      <c r="B89" s="630">
        <v>2500</v>
      </c>
      <c r="C89" s="630">
        <v>2000</v>
      </c>
      <c r="D89" s="630" t="str">
        <f t="shared" si="41"/>
        <v>UVI25002000</v>
      </c>
      <c r="E89" s="1046">
        <f t="shared" si="30"/>
        <v>2511.720053</v>
      </c>
      <c r="F89" s="631">
        <v>24</v>
      </c>
      <c r="G89" s="632">
        <f>F89*CCBASE!$B$51</f>
        <v>864</v>
      </c>
      <c r="H89" s="632">
        <f>CCBASE!$I$11*B89/1000</f>
        <v>402.48240549999997</v>
      </c>
      <c r="I89" s="632"/>
      <c r="J89" s="632"/>
      <c r="K89" s="632"/>
      <c r="L89" s="632">
        <f>CCBASE!$I$14*B89/1000</f>
        <v>523.43413499999997</v>
      </c>
      <c r="M89" s="632"/>
      <c r="N89" s="632"/>
      <c r="O89" s="632">
        <f>CCBASE!$I$45*B89/1000</f>
        <v>24.925000000000001</v>
      </c>
      <c r="P89" s="632">
        <f>CCBASE!$I$9</f>
        <v>39.7111223</v>
      </c>
      <c r="Q89" s="632">
        <f>CCBASE!$H$51</f>
        <v>5.16</v>
      </c>
      <c r="R89" s="632">
        <f>CCBASE!$I$4</f>
        <v>8.3986041999999994</v>
      </c>
      <c r="S89" s="632">
        <f>CCBASE!$I$8</f>
        <v>16.25526</v>
      </c>
      <c r="T89" s="632">
        <f>CCBASE!$I$44</f>
        <v>94.69</v>
      </c>
      <c r="U89" s="631"/>
      <c r="V89" s="631"/>
      <c r="W89" s="632">
        <f>CCBASE!$I$43*B89/1000</f>
        <v>221.56029999999998</v>
      </c>
      <c r="X89" s="632"/>
      <c r="Y89" s="632"/>
      <c r="Z89" s="632"/>
      <c r="AA89" s="632"/>
      <c r="AB89" s="632"/>
      <c r="AC89" s="632"/>
      <c r="AD89" s="632">
        <f>CCBASE!$I$39*2</f>
        <v>311.10322599999995</v>
      </c>
    </row>
    <row r="90" spans="1:30" x14ac:dyDescent="0.2">
      <c r="A90" s="630" t="s">
        <v>133</v>
      </c>
      <c r="B90" s="630">
        <v>2750</v>
      </c>
      <c r="C90" s="630">
        <v>2000</v>
      </c>
      <c r="D90" s="630" t="str">
        <f t="shared" si="41"/>
        <v>UVI27502000</v>
      </c>
      <c r="E90" s="1046">
        <f t="shared" si="30"/>
        <v>2628.9602370499997</v>
      </c>
      <c r="F90" s="631">
        <v>24</v>
      </c>
      <c r="G90" s="632">
        <f>F90*CCBASE!$B$51</f>
        <v>864</v>
      </c>
      <c r="H90" s="632">
        <f>CCBASE!$I$11*B90/1000</f>
        <v>442.73064604999996</v>
      </c>
      <c r="I90" s="632"/>
      <c r="J90" s="632"/>
      <c r="K90" s="632"/>
      <c r="L90" s="632">
        <f>CCBASE!$I$14*B90/1000</f>
        <v>575.77754849999997</v>
      </c>
      <c r="M90" s="632"/>
      <c r="N90" s="632"/>
      <c r="O90" s="632">
        <f>CCBASE!$I$45*B90/1000</f>
        <v>27.4175</v>
      </c>
      <c r="P90" s="632">
        <f>CCBASE!$I$9</f>
        <v>39.7111223</v>
      </c>
      <c r="Q90" s="632">
        <f>CCBASE!$H$51</f>
        <v>5.16</v>
      </c>
      <c r="R90" s="632">
        <f>CCBASE!$I$4</f>
        <v>8.3986041999999994</v>
      </c>
      <c r="S90" s="632">
        <f>CCBASE!$I$8</f>
        <v>16.25526</v>
      </c>
      <c r="T90" s="632">
        <f>CCBASE!$I$44</f>
        <v>94.69</v>
      </c>
      <c r="U90" s="631"/>
      <c r="V90" s="631"/>
      <c r="W90" s="632">
        <f>CCBASE!$I$43*B90/1000</f>
        <v>243.71633</v>
      </c>
      <c r="X90" s="632"/>
      <c r="Y90" s="632"/>
      <c r="Z90" s="632"/>
      <c r="AA90" s="632"/>
      <c r="AB90" s="632"/>
      <c r="AC90" s="632"/>
      <c r="AD90" s="632">
        <f>CCBASE!$I$39*2</f>
        <v>311.10322599999995</v>
      </c>
    </row>
    <row r="91" spans="1:30" x14ac:dyDescent="0.2">
      <c r="A91" s="630" t="s">
        <v>133</v>
      </c>
      <c r="B91" s="630">
        <v>3000</v>
      </c>
      <c r="C91" s="630">
        <v>2000</v>
      </c>
      <c r="D91" s="630" t="str">
        <f t="shared" ref="D91:D99" si="42">A91&amp;B91&amp;C91</f>
        <v>UVI30002000</v>
      </c>
      <c r="E91" s="1046">
        <f t="shared" si="30"/>
        <v>2746.2004210999994</v>
      </c>
      <c r="F91" s="631">
        <v>24</v>
      </c>
      <c r="G91" s="632">
        <f>F91*CCBASE!$B$51</f>
        <v>864</v>
      </c>
      <c r="H91" s="632">
        <f>CCBASE!$I$11*B91/1000</f>
        <v>482.97888659999995</v>
      </c>
      <c r="I91" s="632"/>
      <c r="J91" s="632"/>
      <c r="K91" s="632"/>
      <c r="L91" s="632">
        <f>CCBASE!$I$14*B91/1000</f>
        <v>628.12096199999996</v>
      </c>
      <c r="M91" s="632"/>
      <c r="N91" s="632"/>
      <c r="O91" s="632">
        <f>CCBASE!$I$45*B91/1000</f>
        <v>29.910000000000004</v>
      </c>
      <c r="P91" s="632">
        <f>CCBASE!$I$9</f>
        <v>39.7111223</v>
      </c>
      <c r="Q91" s="632">
        <f>CCBASE!$H$51</f>
        <v>5.16</v>
      </c>
      <c r="R91" s="632">
        <f>CCBASE!$I$4</f>
        <v>8.3986041999999994</v>
      </c>
      <c r="S91" s="632">
        <f>CCBASE!$I$8</f>
        <v>16.25526</v>
      </c>
      <c r="T91" s="632">
        <f>CCBASE!$I$44</f>
        <v>94.69</v>
      </c>
      <c r="U91" s="631"/>
      <c r="V91" s="631"/>
      <c r="W91" s="632">
        <f>CCBASE!$I$43*B91/1000</f>
        <v>265.87235999999996</v>
      </c>
      <c r="X91" s="632"/>
      <c r="Y91" s="632"/>
      <c r="Z91" s="632"/>
      <c r="AA91" s="632"/>
      <c r="AB91" s="632"/>
      <c r="AC91" s="632"/>
      <c r="AD91" s="632">
        <f>CCBASE!$I$39*2</f>
        <v>311.10322599999995</v>
      </c>
    </row>
    <row r="92" spans="1:30" x14ac:dyDescent="0.2">
      <c r="A92" s="630" t="s">
        <v>173</v>
      </c>
      <c r="B92" s="630">
        <v>1000</v>
      </c>
      <c r="C92" s="630">
        <v>1000</v>
      </c>
      <c r="D92" s="630" t="str">
        <f t="shared" si="42"/>
        <v>UVF10001000</v>
      </c>
      <c r="E92" s="1046">
        <f t="shared" si="30"/>
        <v>1836.9968474</v>
      </c>
      <c r="F92" s="631">
        <v>27.5</v>
      </c>
      <c r="G92" s="632">
        <f>F92*CCBASE!$B$51</f>
        <v>990</v>
      </c>
      <c r="H92" s="632">
        <f>CCBASE!$I$11*B92/1000</f>
        <v>160.99296219999999</v>
      </c>
      <c r="I92" s="632"/>
      <c r="J92" s="632"/>
      <c r="K92" s="632"/>
      <c r="L92" s="632">
        <f>CCBASE!$I$13*B92/1000</f>
        <v>239.537655</v>
      </c>
      <c r="M92" s="632"/>
      <c r="N92" s="632">
        <f>CCBASE!$I$7*B92/1000</f>
        <v>31.542280000000002</v>
      </c>
      <c r="O92" s="632">
        <f>CCBASE!$I$45*B92/1000</f>
        <v>9.9700000000000006</v>
      </c>
      <c r="P92" s="632">
        <f>CCBASE!$I$10</f>
        <v>30.661922000000001</v>
      </c>
      <c r="Q92" s="632">
        <f>CCBASE!$H$51</f>
        <v>5.16</v>
      </c>
      <c r="R92" s="632">
        <f>CCBASE!$I$4</f>
        <v>8.3986041999999994</v>
      </c>
      <c r="S92" s="632">
        <f>CCBASE!$I$8</f>
        <v>16.25526</v>
      </c>
      <c r="T92" s="632">
        <f>CCBASE!$I$44</f>
        <v>94.69</v>
      </c>
      <c r="U92" s="632">
        <f>CCBASE!$I$47</f>
        <v>14.41</v>
      </c>
      <c r="V92" s="632">
        <f>CCBASE!$I$46</f>
        <v>2.44</v>
      </c>
      <c r="W92" s="632">
        <f>CCBASE!$I$40*B92/1000</f>
        <v>41.308039999999998</v>
      </c>
      <c r="X92" s="632"/>
      <c r="Y92" s="632"/>
      <c r="Z92" s="632"/>
      <c r="AA92" s="632"/>
      <c r="AB92" s="632"/>
      <c r="AC92" s="632"/>
      <c r="AD92" s="632">
        <f>CCBASE!$I$36*2</f>
        <v>191.630124</v>
      </c>
    </row>
    <row r="93" spans="1:30" x14ac:dyDescent="0.2">
      <c r="A93" s="630" t="s">
        <v>173</v>
      </c>
      <c r="B93" s="630">
        <v>1250</v>
      </c>
      <c r="C93" s="630">
        <v>1000</v>
      </c>
      <c r="D93" s="630" t="str">
        <f t="shared" ref="D93" si="43">A93&amp;B93&amp;C93</f>
        <v>UVF12501000</v>
      </c>
      <c r="E93" s="1046">
        <f t="shared" si="30"/>
        <v>1972.2445817000003</v>
      </c>
      <c r="F93" s="631">
        <v>27.5</v>
      </c>
      <c r="G93" s="632">
        <f>F93*CCBASE!$B$51</f>
        <v>990</v>
      </c>
      <c r="H93" s="632">
        <f>CCBASE!$I$11*B93/1000</f>
        <v>201.24120274999999</v>
      </c>
      <c r="I93" s="632"/>
      <c r="J93" s="632"/>
      <c r="K93" s="632"/>
      <c r="L93" s="632">
        <f>CCBASE!$I$13*B93/1000</f>
        <v>299.42206874999999</v>
      </c>
      <c r="M93" s="632"/>
      <c r="N93" s="632">
        <f>CCBASE!$I$7*B93/1000</f>
        <v>39.427849999999999</v>
      </c>
      <c r="O93" s="632">
        <f>CCBASE!$I$45*B93/1000</f>
        <v>12.4625</v>
      </c>
      <c r="P93" s="632">
        <f>CCBASE!$I$10</f>
        <v>30.661922000000001</v>
      </c>
      <c r="Q93" s="632">
        <f>CCBASE!$H$51</f>
        <v>5.16</v>
      </c>
      <c r="R93" s="632">
        <f>CCBASE!$I$4</f>
        <v>8.3986041999999994</v>
      </c>
      <c r="S93" s="632">
        <f>CCBASE!$I$8</f>
        <v>16.25526</v>
      </c>
      <c r="T93" s="632">
        <f>CCBASE!$I$44</f>
        <v>94.69</v>
      </c>
      <c r="U93" s="632">
        <f>CCBASE!$I$47*2</f>
        <v>28.82</v>
      </c>
      <c r="V93" s="632">
        <f>CCBASE!$I$46</f>
        <v>2.44</v>
      </c>
      <c r="W93" s="632">
        <f>CCBASE!$I$40*B93/1000</f>
        <v>51.635049999999993</v>
      </c>
      <c r="X93" s="632"/>
      <c r="Y93" s="632"/>
      <c r="Z93" s="632"/>
      <c r="AA93" s="632"/>
      <c r="AB93" s="632"/>
      <c r="AC93" s="632"/>
      <c r="AD93" s="632">
        <f>CCBASE!$I$36*2</f>
        <v>191.630124</v>
      </c>
    </row>
    <row r="94" spans="1:30" x14ac:dyDescent="0.2">
      <c r="A94" s="630" t="s">
        <v>173</v>
      </c>
      <c r="B94" s="630">
        <v>1500</v>
      </c>
      <c r="C94" s="630">
        <v>1000</v>
      </c>
      <c r="D94" s="630" t="str">
        <f t="shared" si="42"/>
        <v>UVF15001000</v>
      </c>
      <c r="E94" s="1046">
        <f t="shared" si="30"/>
        <v>2093.0823159999995</v>
      </c>
      <c r="F94" s="631">
        <v>27.5</v>
      </c>
      <c r="G94" s="632">
        <f>F94*CCBASE!$B$51</f>
        <v>990</v>
      </c>
      <c r="H94" s="632">
        <f>CCBASE!$I$11*B94/1000</f>
        <v>241.48944329999998</v>
      </c>
      <c r="I94" s="632"/>
      <c r="J94" s="632"/>
      <c r="K94" s="632"/>
      <c r="L94" s="632">
        <f>CCBASE!$I$13*B94/1000</f>
        <v>359.30648249999996</v>
      </c>
      <c r="M94" s="632"/>
      <c r="N94" s="632">
        <f>CCBASE!$I$7*B94/1000</f>
        <v>47.313420000000008</v>
      </c>
      <c r="O94" s="632">
        <f>CCBASE!$I$45*B94/1000</f>
        <v>14.955000000000002</v>
      </c>
      <c r="P94" s="632">
        <f>CCBASE!$I$10</f>
        <v>30.661922000000001</v>
      </c>
      <c r="Q94" s="632">
        <f>CCBASE!$H$51</f>
        <v>5.16</v>
      </c>
      <c r="R94" s="632">
        <f>CCBASE!$I$4</f>
        <v>8.3986041999999994</v>
      </c>
      <c r="S94" s="632">
        <f>CCBASE!$I$8</f>
        <v>16.25526</v>
      </c>
      <c r="T94" s="632">
        <f>CCBASE!$I$44</f>
        <v>94.69</v>
      </c>
      <c r="U94" s="632">
        <f>CCBASE!$I$47*2</f>
        <v>28.82</v>
      </c>
      <c r="V94" s="632">
        <f>CCBASE!$I$46</f>
        <v>2.44</v>
      </c>
      <c r="W94" s="632">
        <f>CCBASE!$I$40*B94/1000</f>
        <v>61.962060000000001</v>
      </c>
      <c r="X94" s="632"/>
      <c r="Y94" s="632"/>
      <c r="Z94" s="632"/>
      <c r="AA94" s="632"/>
      <c r="AB94" s="632"/>
      <c r="AC94" s="632"/>
      <c r="AD94" s="632">
        <f>CCBASE!$I$36*2</f>
        <v>191.630124</v>
      </c>
    </row>
    <row r="95" spans="1:30" x14ac:dyDescent="0.2">
      <c r="A95" s="630" t="s">
        <v>173</v>
      </c>
      <c r="B95" s="630">
        <v>1750</v>
      </c>
      <c r="C95" s="630">
        <v>1000</v>
      </c>
      <c r="D95" s="630" t="str">
        <f t="shared" ref="D95" si="44">A95&amp;B95&amp;C95</f>
        <v>UVF17501000</v>
      </c>
      <c r="E95" s="1046">
        <f t="shared" si="30"/>
        <v>2224.1892505999999</v>
      </c>
      <c r="F95" s="631">
        <v>27.5</v>
      </c>
      <c r="G95" s="632">
        <f>F95*CCBASE!$B$51</f>
        <v>990</v>
      </c>
      <c r="H95" s="632">
        <f>CCBASE!$I$11*B95/1000</f>
        <v>281.73768385</v>
      </c>
      <c r="I95" s="632"/>
      <c r="J95" s="632"/>
      <c r="K95" s="632"/>
      <c r="L95" s="632">
        <f>CCBASE!$I$13*B95/1000</f>
        <v>419.19089624999998</v>
      </c>
      <c r="M95" s="632"/>
      <c r="N95" s="632">
        <f>CCBASE!$I$7*B95/1000</f>
        <v>55.198990000000002</v>
      </c>
      <c r="O95" s="632">
        <f>CCBASE!$I$45*B95/1000</f>
        <v>17.447500000000002</v>
      </c>
      <c r="P95" s="632">
        <f>CCBASE!$I$9</f>
        <v>39.7111223</v>
      </c>
      <c r="Q95" s="632">
        <f>CCBASE!$H$51</f>
        <v>5.16</v>
      </c>
      <c r="R95" s="632">
        <f>CCBASE!$I$4</f>
        <v>8.3986041999999994</v>
      </c>
      <c r="S95" s="632">
        <f>CCBASE!$I$8</f>
        <v>16.25526</v>
      </c>
      <c r="T95" s="632">
        <f>CCBASE!$I$44</f>
        <v>94.69</v>
      </c>
      <c r="U95" s="632">
        <f>CCBASE!$I$47*2</f>
        <v>28.82</v>
      </c>
      <c r="V95" s="632">
        <f>CCBASE!$I$46*1.5</f>
        <v>3.66</v>
      </c>
      <c r="W95" s="632">
        <f>CCBASE!$I$40*B95/1000</f>
        <v>72.289069999999995</v>
      </c>
      <c r="X95" s="632"/>
      <c r="Y95" s="632"/>
      <c r="Z95" s="632"/>
      <c r="AA95" s="632"/>
      <c r="AB95" s="632"/>
      <c r="AC95" s="632"/>
      <c r="AD95" s="632">
        <f>CCBASE!$I$36*2</f>
        <v>191.630124</v>
      </c>
    </row>
    <row r="96" spans="1:30" x14ac:dyDescent="0.2">
      <c r="A96" s="630" t="s">
        <v>173</v>
      </c>
      <c r="B96" s="630">
        <v>2000</v>
      </c>
      <c r="C96" s="630">
        <v>1000</v>
      </c>
      <c r="D96" s="630" t="str">
        <f t="shared" si="42"/>
        <v>UVF20001000</v>
      </c>
      <c r="E96" s="1046">
        <f t="shared" si="30"/>
        <v>2345.0269848999992</v>
      </c>
      <c r="F96" s="631">
        <v>27.5</v>
      </c>
      <c r="G96" s="632">
        <f>F96*CCBASE!$B$51</f>
        <v>990</v>
      </c>
      <c r="H96" s="632">
        <f>CCBASE!$I$11*B96/1000</f>
        <v>321.98592439999999</v>
      </c>
      <c r="I96" s="632"/>
      <c r="J96" s="632"/>
      <c r="K96" s="632"/>
      <c r="L96" s="632">
        <f>CCBASE!$I$13*B96/1000</f>
        <v>479.07531</v>
      </c>
      <c r="M96" s="632"/>
      <c r="N96" s="632">
        <f>CCBASE!$I$7*B96/1000</f>
        <v>63.084560000000003</v>
      </c>
      <c r="O96" s="632">
        <f>CCBASE!$I$45*B96/1000</f>
        <v>19.940000000000001</v>
      </c>
      <c r="P96" s="632">
        <f>CCBASE!$I$9</f>
        <v>39.7111223</v>
      </c>
      <c r="Q96" s="632">
        <f>CCBASE!$H$51</f>
        <v>5.16</v>
      </c>
      <c r="R96" s="632">
        <f>CCBASE!$I$4</f>
        <v>8.3986041999999994</v>
      </c>
      <c r="S96" s="632">
        <f>CCBASE!$I$8</f>
        <v>16.25526</v>
      </c>
      <c r="T96" s="632">
        <f>CCBASE!$I$44</f>
        <v>94.69</v>
      </c>
      <c r="U96" s="632">
        <f>CCBASE!$I$47*2</f>
        <v>28.82</v>
      </c>
      <c r="V96" s="632">
        <f>CCBASE!$I$46*1.5</f>
        <v>3.66</v>
      </c>
      <c r="W96" s="632">
        <f>CCBASE!$I$40*B96/1000</f>
        <v>82.616079999999997</v>
      </c>
      <c r="X96" s="632"/>
      <c r="Y96" s="632"/>
      <c r="Z96" s="632"/>
      <c r="AA96" s="632"/>
      <c r="AB96" s="632"/>
      <c r="AC96" s="632"/>
      <c r="AD96" s="632">
        <f>CCBASE!$I$36*2</f>
        <v>191.630124</v>
      </c>
    </row>
    <row r="97" spans="1:30" x14ac:dyDescent="0.2">
      <c r="A97" s="630" t="s">
        <v>173</v>
      </c>
      <c r="B97" s="630">
        <v>2250</v>
      </c>
      <c r="C97" s="630">
        <v>1000</v>
      </c>
      <c r="D97" s="630" t="str">
        <f t="shared" ref="D97" si="45">A97&amp;B97&amp;C97</f>
        <v>UVF22501000</v>
      </c>
      <c r="E97" s="1046">
        <f t="shared" si="30"/>
        <v>2537.8647191999999</v>
      </c>
      <c r="F97" s="631">
        <v>29.5</v>
      </c>
      <c r="G97" s="632">
        <f>F97*CCBASE!$B$51</f>
        <v>1062</v>
      </c>
      <c r="H97" s="632">
        <f>CCBASE!$I$11*B97/1000</f>
        <v>362.23416494999998</v>
      </c>
      <c r="I97" s="632"/>
      <c r="J97" s="632"/>
      <c r="K97" s="632"/>
      <c r="L97" s="632">
        <f>CCBASE!$I$13*B97/1000</f>
        <v>538.95972374999997</v>
      </c>
      <c r="M97" s="632"/>
      <c r="N97" s="632">
        <f>CCBASE!$I$7*B97/1000</f>
        <v>70.970130000000012</v>
      </c>
      <c r="O97" s="632">
        <f>CCBASE!$I$45*B97/1000</f>
        <v>22.432500000000001</v>
      </c>
      <c r="P97" s="632">
        <f>CCBASE!$I$9</f>
        <v>39.7111223</v>
      </c>
      <c r="Q97" s="632">
        <f>CCBASE!$H$51</f>
        <v>5.16</v>
      </c>
      <c r="R97" s="632">
        <f>CCBASE!$I$4</f>
        <v>8.3986041999999994</v>
      </c>
      <c r="S97" s="632">
        <f>CCBASE!$I$8</f>
        <v>16.25526</v>
      </c>
      <c r="T97" s="632">
        <f>CCBASE!$I$44</f>
        <v>94.69</v>
      </c>
      <c r="U97" s="632">
        <f>CCBASE!$I$47*2</f>
        <v>28.82</v>
      </c>
      <c r="V97" s="632">
        <f>CCBASE!$I$46*1.5</f>
        <v>3.66</v>
      </c>
      <c r="W97" s="632">
        <f>CCBASE!$I$40*B97/1000</f>
        <v>92.943089999999998</v>
      </c>
      <c r="X97" s="632"/>
      <c r="Y97" s="632"/>
      <c r="Z97" s="632"/>
      <c r="AA97" s="632"/>
      <c r="AB97" s="632"/>
      <c r="AC97" s="632"/>
      <c r="AD97" s="632">
        <f>CCBASE!$I$36*2</f>
        <v>191.630124</v>
      </c>
    </row>
    <row r="98" spans="1:30" x14ac:dyDescent="0.2">
      <c r="A98" s="630" t="s">
        <v>173</v>
      </c>
      <c r="B98" s="630">
        <v>2500</v>
      </c>
      <c r="C98" s="630">
        <v>1000</v>
      </c>
      <c r="D98" s="630" t="str">
        <f t="shared" si="42"/>
        <v>UVF25001000</v>
      </c>
      <c r="E98" s="1046">
        <f t="shared" si="30"/>
        <v>2658.7024535000005</v>
      </c>
      <c r="F98" s="631">
        <v>29.5</v>
      </c>
      <c r="G98" s="632">
        <f>F98*CCBASE!$B$51</f>
        <v>1062</v>
      </c>
      <c r="H98" s="632">
        <f>CCBASE!$I$11*B98/1000</f>
        <v>402.48240549999997</v>
      </c>
      <c r="I98" s="632"/>
      <c r="J98" s="632"/>
      <c r="K98" s="632"/>
      <c r="L98" s="632">
        <f>CCBASE!$I$13*B98/1000</f>
        <v>598.84413749999999</v>
      </c>
      <c r="M98" s="632"/>
      <c r="N98" s="632">
        <f>CCBASE!$I$7*B98/1000</f>
        <v>78.855699999999999</v>
      </c>
      <c r="O98" s="632">
        <f>CCBASE!$I$45*B98/1000</f>
        <v>24.925000000000001</v>
      </c>
      <c r="P98" s="632">
        <f>CCBASE!$I$9</f>
        <v>39.7111223</v>
      </c>
      <c r="Q98" s="632">
        <f>CCBASE!$H$51</f>
        <v>5.16</v>
      </c>
      <c r="R98" s="632">
        <f>CCBASE!$I$4</f>
        <v>8.3986041999999994</v>
      </c>
      <c r="S98" s="632">
        <f>CCBASE!$I$8</f>
        <v>16.25526</v>
      </c>
      <c r="T98" s="632">
        <f>CCBASE!$I$44</f>
        <v>94.69</v>
      </c>
      <c r="U98" s="632">
        <f>CCBASE!$I$47*2</f>
        <v>28.82</v>
      </c>
      <c r="V98" s="632">
        <f>CCBASE!$I$46*1.5</f>
        <v>3.66</v>
      </c>
      <c r="W98" s="632">
        <f>CCBASE!$I$40*B98/1000</f>
        <v>103.27009999999999</v>
      </c>
      <c r="X98" s="632"/>
      <c r="Y98" s="632"/>
      <c r="Z98" s="632"/>
      <c r="AA98" s="632"/>
      <c r="AB98" s="632"/>
      <c r="AC98" s="632"/>
      <c r="AD98" s="632">
        <f>CCBASE!$I$36*2</f>
        <v>191.630124</v>
      </c>
    </row>
    <row r="99" spans="1:30" x14ac:dyDescent="0.2">
      <c r="A99" s="630" t="s">
        <v>173</v>
      </c>
      <c r="B99" s="630">
        <v>2750</v>
      </c>
      <c r="C99" s="630">
        <v>1000</v>
      </c>
      <c r="D99" s="630" t="str">
        <f t="shared" si="42"/>
        <v>UVF27501000</v>
      </c>
      <c r="E99" s="1046">
        <f t="shared" si="30"/>
        <v>2779.5401877999998</v>
      </c>
      <c r="F99" s="631">
        <v>29.5</v>
      </c>
      <c r="G99" s="632">
        <f>F99*CCBASE!$B$51</f>
        <v>1062</v>
      </c>
      <c r="H99" s="632">
        <f>CCBASE!$I$11*B99/1000</f>
        <v>442.73064604999996</v>
      </c>
      <c r="I99" s="632"/>
      <c r="J99" s="632"/>
      <c r="K99" s="632"/>
      <c r="L99" s="632">
        <f>CCBASE!$I$13*B99/1000</f>
        <v>658.72855125000001</v>
      </c>
      <c r="M99" s="632"/>
      <c r="N99" s="632">
        <f>CCBASE!$I$7*B99/1000</f>
        <v>86.74127</v>
      </c>
      <c r="O99" s="632">
        <f>CCBASE!$I$45*B99/1000</f>
        <v>27.4175</v>
      </c>
      <c r="P99" s="632">
        <f>CCBASE!$I$9</f>
        <v>39.7111223</v>
      </c>
      <c r="Q99" s="632">
        <f>CCBASE!$H$51</f>
        <v>5.16</v>
      </c>
      <c r="R99" s="632">
        <f>CCBASE!$I$4</f>
        <v>8.3986041999999994</v>
      </c>
      <c r="S99" s="632">
        <f>CCBASE!$I$8</f>
        <v>16.25526</v>
      </c>
      <c r="T99" s="632">
        <f>CCBASE!$I$44</f>
        <v>94.69</v>
      </c>
      <c r="U99" s="632">
        <f>CCBASE!$I$47*2</f>
        <v>28.82</v>
      </c>
      <c r="V99" s="632">
        <f>CCBASE!$I$46*1.5</f>
        <v>3.66</v>
      </c>
      <c r="W99" s="632">
        <f>CCBASE!$I$40*B99/1000</f>
        <v>113.59711</v>
      </c>
      <c r="X99" s="632"/>
      <c r="Y99" s="632"/>
      <c r="Z99" s="632"/>
      <c r="AA99" s="632"/>
      <c r="AB99" s="632"/>
      <c r="AC99" s="632"/>
      <c r="AD99" s="632">
        <f>CCBASE!$I$36*2</f>
        <v>191.630124</v>
      </c>
    </row>
    <row r="100" spans="1:30" x14ac:dyDescent="0.2">
      <c r="A100" s="630" t="s">
        <v>173</v>
      </c>
      <c r="B100" s="630">
        <v>3000</v>
      </c>
      <c r="C100" s="630">
        <v>1000</v>
      </c>
      <c r="D100" s="630" t="str">
        <f t="shared" ref="D100" si="46">A100&amp;B100&amp;C100</f>
        <v>UVF30001000</v>
      </c>
      <c r="E100" s="1046">
        <f t="shared" si="30"/>
        <v>2900.3779220999995</v>
      </c>
      <c r="F100" s="631">
        <v>29.5</v>
      </c>
      <c r="G100" s="632">
        <f>F100*CCBASE!$B$51</f>
        <v>1062</v>
      </c>
      <c r="H100" s="632">
        <f>CCBASE!$I$11*B100/1000</f>
        <v>482.97888659999995</v>
      </c>
      <c r="I100" s="632"/>
      <c r="J100" s="632"/>
      <c r="K100" s="632"/>
      <c r="L100" s="632">
        <f>CCBASE!$I$13*B100/1000</f>
        <v>718.61296499999992</v>
      </c>
      <c r="M100" s="632"/>
      <c r="N100" s="632">
        <f>CCBASE!$I$7*B100/1000</f>
        <v>94.626840000000016</v>
      </c>
      <c r="O100" s="632">
        <f>CCBASE!$I$45*B100/1000</f>
        <v>29.910000000000004</v>
      </c>
      <c r="P100" s="632">
        <f>CCBASE!$I$9</f>
        <v>39.7111223</v>
      </c>
      <c r="Q100" s="632">
        <f>CCBASE!$H$51</f>
        <v>5.16</v>
      </c>
      <c r="R100" s="632">
        <f>CCBASE!$I$4</f>
        <v>8.3986041999999994</v>
      </c>
      <c r="S100" s="632">
        <f>CCBASE!$I$8</f>
        <v>16.25526</v>
      </c>
      <c r="T100" s="632">
        <f>CCBASE!$I$44</f>
        <v>94.69</v>
      </c>
      <c r="U100" s="632">
        <f>CCBASE!$I$47*2</f>
        <v>28.82</v>
      </c>
      <c r="V100" s="632">
        <f>CCBASE!$I$46*1.5</f>
        <v>3.66</v>
      </c>
      <c r="W100" s="632">
        <f>CCBASE!$I$40*B100/1000</f>
        <v>123.92412</v>
      </c>
      <c r="X100" s="632"/>
      <c r="Y100" s="632"/>
      <c r="Z100" s="632"/>
      <c r="AA100" s="632"/>
      <c r="AB100" s="632"/>
      <c r="AC100" s="632"/>
      <c r="AD100" s="632">
        <f>CCBASE!$I$36*2</f>
        <v>191.630124</v>
      </c>
    </row>
    <row r="101" spans="1:30" x14ac:dyDescent="0.2">
      <c r="A101" s="630" t="s">
        <v>173</v>
      </c>
      <c r="B101" s="630">
        <v>1000</v>
      </c>
      <c r="C101" s="630">
        <v>1250</v>
      </c>
      <c r="D101" s="630" t="str">
        <f t="shared" ref="D101:D127" si="47">A101&amp;B101&amp;C101</f>
        <v>UVF10001250</v>
      </c>
      <c r="E101" s="1046">
        <f t="shared" si="30"/>
        <v>1836.9968474</v>
      </c>
      <c r="F101" s="631">
        <v>27.5</v>
      </c>
      <c r="G101" s="632">
        <f>F101*CCBASE!$B$51</f>
        <v>990</v>
      </c>
      <c r="H101" s="632">
        <f>CCBASE!$I$11*B101/1000</f>
        <v>160.99296219999999</v>
      </c>
      <c r="I101" s="632"/>
      <c r="J101" s="632"/>
      <c r="K101" s="632"/>
      <c r="L101" s="632">
        <f>CCBASE!$I$13*B101/1000</f>
        <v>239.537655</v>
      </c>
      <c r="M101" s="632"/>
      <c r="N101" s="632">
        <f>CCBASE!$I$7*B101/1000</f>
        <v>31.542280000000002</v>
      </c>
      <c r="O101" s="632">
        <f>CCBASE!$I$45*B101/1000</f>
        <v>9.9700000000000006</v>
      </c>
      <c r="P101" s="632">
        <f>CCBASE!$I$10</f>
        <v>30.661922000000001</v>
      </c>
      <c r="Q101" s="632">
        <f>CCBASE!$H$51</f>
        <v>5.16</v>
      </c>
      <c r="R101" s="632">
        <f>CCBASE!$I$4</f>
        <v>8.3986041999999994</v>
      </c>
      <c r="S101" s="632">
        <f>CCBASE!$I$8</f>
        <v>16.25526</v>
      </c>
      <c r="T101" s="632">
        <f>CCBASE!$I$44</f>
        <v>94.69</v>
      </c>
      <c r="U101" s="632">
        <f>CCBASE!$I$47</f>
        <v>14.41</v>
      </c>
      <c r="V101" s="632">
        <f>CCBASE!$I$46</f>
        <v>2.44</v>
      </c>
      <c r="W101" s="632">
        <f>CCBASE!$I$40*B101/1000</f>
        <v>41.308039999999998</v>
      </c>
      <c r="X101" s="632"/>
      <c r="Y101" s="632"/>
      <c r="Z101" s="632"/>
      <c r="AA101" s="632"/>
      <c r="AB101" s="632"/>
      <c r="AC101" s="632"/>
      <c r="AD101" s="632">
        <f>CCBASE!$I$36*2</f>
        <v>191.630124</v>
      </c>
    </row>
    <row r="102" spans="1:30" x14ac:dyDescent="0.2">
      <c r="A102" s="630" t="s">
        <v>173</v>
      </c>
      <c r="B102" s="630">
        <v>1250</v>
      </c>
      <c r="C102" s="630">
        <v>1250</v>
      </c>
      <c r="D102" s="630" t="str">
        <f t="shared" ref="D102" si="48">A102&amp;B102&amp;C102</f>
        <v>UVF12501250</v>
      </c>
      <c r="E102" s="1046">
        <f t="shared" si="30"/>
        <v>1972.2445817000003</v>
      </c>
      <c r="F102" s="631">
        <v>27.5</v>
      </c>
      <c r="G102" s="632">
        <f>F102*CCBASE!$B$51</f>
        <v>990</v>
      </c>
      <c r="H102" s="632">
        <f>CCBASE!$I$11*B102/1000</f>
        <v>201.24120274999999</v>
      </c>
      <c r="I102" s="632"/>
      <c r="J102" s="632"/>
      <c r="K102" s="632"/>
      <c r="L102" s="632">
        <f>CCBASE!$I$13*B102/1000</f>
        <v>299.42206874999999</v>
      </c>
      <c r="M102" s="632"/>
      <c r="N102" s="632">
        <f>CCBASE!$I$7*B102/1000</f>
        <v>39.427849999999999</v>
      </c>
      <c r="O102" s="632">
        <f>CCBASE!$I$45*B102/1000</f>
        <v>12.4625</v>
      </c>
      <c r="P102" s="632">
        <f>CCBASE!$I$10</f>
        <v>30.661922000000001</v>
      </c>
      <c r="Q102" s="632">
        <f>CCBASE!$H$51</f>
        <v>5.16</v>
      </c>
      <c r="R102" s="632">
        <f>CCBASE!$I$4</f>
        <v>8.3986041999999994</v>
      </c>
      <c r="S102" s="632">
        <f>CCBASE!$I$8</f>
        <v>16.25526</v>
      </c>
      <c r="T102" s="632">
        <f>CCBASE!$I$44</f>
        <v>94.69</v>
      </c>
      <c r="U102" s="632">
        <f>CCBASE!$I$47*2</f>
        <v>28.82</v>
      </c>
      <c r="V102" s="632">
        <f>CCBASE!$I$46</f>
        <v>2.44</v>
      </c>
      <c r="W102" s="632">
        <f>CCBASE!$I$40*B102/1000</f>
        <v>51.635049999999993</v>
      </c>
      <c r="X102" s="632"/>
      <c r="Y102" s="632"/>
      <c r="Z102" s="632"/>
      <c r="AA102" s="632"/>
      <c r="AB102" s="632"/>
      <c r="AC102" s="632"/>
      <c r="AD102" s="632">
        <f>CCBASE!$I$36*2</f>
        <v>191.630124</v>
      </c>
    </row>
    <row r="103" spans="1:30" x14ac:dyDescent="0.2">
      <c r="A103" s="630" t="s">
        <v>173</v>
      </c>
      <c r="B103" s="630">
        <v>1500</v>
      </c>
      <c r="C103" s="630">
        <v>1250</v>
      </c>
      <c r="D103" s="630" t="str">
        <f t="shared" si="47"/>
        <v>UVF15001250</v>
      </c>
      <c r="E103" s="1046">
        <f t="shared" si="30"/>
        <v>2093.0823159999995</v>
      </c>
      <c r="F103" s="631">
        <v>27.5</v>
      </c>
      <c r="G103" s="632">
        <f>F103*CCBASE!$B$51</f>
        <v>990</v>
      </c>
      <c r="H103" s="632">
        <f>CCBASE!$I$11*B103/1000</f>
        <v>241.48944329999998</v>
      </c>
      <c r="I103" s="632"/>
      <c r="J103" s="632"/>
      <c r="K103" s="632"/>
      <c r="L103" s="632">
        <f>CCBASE!$I$13*B103/1000</f>
        <v>359.30648249999996</v>
      </c>
      <c r="M103" s="632"/>
      <c r="N103" s="632">
        <f>CCBASE!$I$7*B103/1000</f>
        <v>47.313420000000008</v>
      </c>
      <c r="O103" s="632">
        <f>CCBASE!$I$45*B103/1000</f>
        <v>14.955000000000002</v>
      </c>
      <c r="P103" s="632">
        <f>CCBASE!$I$10</f>
        <v>30.661922000000001</v>
      </c>
      <c r="Q103" s="632">
        <f>CCBASE!$H$51</f>
        <v>5.16</v>
      </c>
      <c r="R103" s="632">
        <f>CCBASE!$I$4</f>
        <v>8.3986041999999994</v>
      </c>
      <c r="S103" s="632">
        <f>CCBASE!$I$8</f>
        <v>16.25526</v>
      </c>
      <c r="T103" s="632">
        <f>CCBASE!$I$44</f>
        <v>94.69</v>
      </c>
      <c r="U103" s="632">
        <f>CCBASE!$I$47*2</f>
        <v>28.82</v>
      </c>
      <c r="V103" s="632">
        <f>CCBASE!$I$46</f>
        <v>2.44</v>
      </c>
      <c r="W103" s="632">
        <f>CCBASE!$I$40*B103/1000</f>
        <v>61.962060000000001</v>
      </c>
      <c r="X103" s="632"/>
      <c r="Y103" s="632"/>
      <c r="Z103" s="632"/>
      <c r="AA103" s="632"/>
      <c r="AB103" s="632"/>
      <c r="AC103" s="632"/>
      <c r="AD103" s="632">
        <f>CCBASE!$I$36*2</f>
        <v>191.630124</v>
      </c>
    </row>
    <row r="104" spans="1:30" x14ac:dyDescent="0.2">
      <c r="A104" s="630" t="s">
        <v>173</v>
      </c>
      <c r="B104" s="630">
        <v>1750</v>
      </c>
      <c r="C104" s="630">
        <v>1250</v>
      </c>
      <c r="D104" s="630" t="str">
        <f t="shared" ref="D104" si="49">A104&amp;B104&amp;C104</f>
        <v>UVF17501250</v>
      </c>
      <c r="E104" s="1046">
        <f t="shared" si="30"/>
        <v>2224.1892505999999</v>
      </c>
      <c r="F104" s="631">
        <v>27.5</v>
      </c>
      <c r="G104" s="632">
        <f>F104*CCBASE!$B$51</f>
        <v>990</v>
      </c>
      <c r="H104" s="632">
        <f>CCBASE!$I$11*B104/1000</f>
        <v>281.73768385</v>
      </c>
      <c r="I104" s="632"/>
      <c r="J104" s="632"/>
      <c r="K104" s="632"/>
      <c r="L104" s="632">
        <f>CCBASE!$I$13*B104/1000</f>
        <v>419.19089624999998</v>
      </c>
      <c r="M104" s="632"/>
      <c r="N104" s="632">
        <f>CCBASE!$I$7*B104/1000</f>
        <v>55.198990000000002</v>
      </c>
      <c r="O104" s="632">
        <f>CCBASE!$I$45*B104/1000</f>
        <v>17.447500000000002</v>
      </c>
      <c r="P104" s="632">
        <f>CCBASE!$I$9</f>
        <v>39.7111223</v>
      </c>
      <c r="Q104" s="632">
        <f>CCBASE!$H$51</f>
        <v>5.16</v>
      </c>
      <c r="R104" s="632">
        <f>CCBASE!$I$4</f>
        <v>8.3986041999999994</v>
      </c>
      <c r="S104" s="632">
        <f>CCBASE!$I$8</f>
        <v>16.25526</v>
      </c>
      <c r="T104" s="632">
        <f>CCBASE!$I$44</f>
        <v>94.69</v>
      </c>
      <c r="U104" s="632">
        <f>CCBASE!$I$47*2</f>
        <v>28.82</v>
      </c>
      <c r="V104" s="632">
        <f>CCBASE!$I$46*1.5</f>
        <v>3.66</v>
      </c>
      <c r="W104" s="632">
        <f>CCBASE!$I$40*B104/1000</f>
        <v>72.289069999999995</v>
      </c>
      <c r="X104" s="632"/>
      <c r="Y104" s="632"/>
      <c r="Z104" s="632"/>
      <c r="AA104" s="632"/>
      <c r="AB104" s="632"/>
      <c r="AC104" s="632"/>
      <c r="AD104" s="632">
        <f>CCBASE!$I$36*2</f>
        <v>191.630124</v>
      </c>
    </row>
    <row r="105" spans="1:30" x14ac:dyDescent="0.2">
      <c r="A105" s="630" t="s">
        <v>173</v>
      </c>
      <c r="B105" s="630">
        <v>2000</v>
      </c>
      <c r="C105" s="630">
        <v>1250</v>
      </c>
      <c r="D105" s="630" t="str">
        <f t="shared" si="47"/>
        <v>UVF20001250</v>
      </c>
      <c r="E105" s="1046">
        <f t="shared" si="30"/>
        <v>2345.0269848999992</v>
      </c>
      <c r="F105" s="631">
        <v>27.5</v>
      </c>
      <c r="G105" s="632">
        <f>F105*CCBASE!$B$51</f>
        <v>990</v>
      </c>
      <c r="H105" s="632">
        <f>CCBASE!$I$11*B105/1000</f>
        <v>321.98592439999999</v>
      </c>
      <c r="I105" s="632"/>
      <c r="J105" s="632"/>
      <c r="K105" s="632"/>
      <c r="L105" s="632">
        <f>CCBASE!$I$13*B105/1000</f>
        <v>479.07531</v>
      </c>
      <c r="M105" s="632"/>
      <c r="N105" s="632">
        <f>CCBASE!$I$7*B105/1000</f>
        <v>63.084560000000003</v>
      </c>
      <c r="O105" s="632">
        <f>CCBASE!$I$45*B105/1000</f>
        <v>19.940000000000001</v>
      </c>
      <c r="P105" s="632">
        <f>CCBASE!$I$9</f>
        <v>39.7111223</v>
      </c>
      <c r="Q105" s="632">
        <f>CCBASE!$H$51</f>
        <v>5.16</v>
      </c>
      <c r="R105" s="632">
        <f>CCBASE!$I$4</f>
        <v>8.3986041999999994</v>
      </c>
      <c r="S105" s="632">
        <f>CCBASE!$I$8</f>
        <v>16.25526</v>
      </c>
      <c r="T105" s="632">
        <f>CCBASE!$I$44</f>
        <v>94.69</v>
      </c>
      <c r="U105" s="632">
        <f>CCBASE!$I$47*2</f>
        <v>28.82</v>
      </c>
      <c r="V105" s="632">
        <f>CCBASE!$I$46*1.5</f>
        <v>3.66</v>
      </c>
      <c r="W105" s="632">
        <f>CCBASE!$I$40*B105/1000</f>
        <v>82.616079999999997</v>
      </c>
      <c r="X105" s="632"/>
      <c r="Y105" s="632"/>
      <c r="Z105" s="632"/>
      <c r="AA105" s="632"/>
      <c r="AB105" s="632"/>
      <c r="AC105" s="632"/>
      <c r="AD105" s="632">
        <f>CCBASE!$I$36*2</f>
        <v>191.630124</v>
      </c>
    </row>
    <row r="106" spans="1:30" x14ac:dyDescent="0.2">
      <c r="A106" s="630" t="s">
        <v>173</v>
      </c>
      <c r="B106" s="630">
        <v>2250</v>
      </c>
      <c r="C106" s="630">
        <v>1250</v>
      </c>
      <c r="D106" s="630" t="str">
        <f t="shared" ref="D106" si="50">A106&amp;B106&amp;C106</f>
        <v>UVF22501250</v>
      </c>
      <c r="E106" s="1046">
        <f t="shared" si="30"/>
        <v>2537.8647191999999</v>
      </c>
      <c r="F106" s="631">
        <v>29.5</v>
      </c>
      <c r="G106" s="632">
        <f>F106*CCBASE!$B$51</f>
        <v>1062</v>
      </c>
      <c r="H106" s="632">
        <f>CCBASE!$I$11*B106/1000</f>
        <v>362.23416494999998</v>
      </c>
      <c r="I106" s="632"/>
      <c r="J106" s="632"/>
      <c r="K106" s="632"/>
      <c r="L106" s="632">
        <f>CCBASE!$I$13*B106/1000</f>
        <v>538.95972374999997</v>
      </c>
      <c r="M106" s="632"/>
      <c r="N106" s="632">
        <f>CCBASE!$I$7*B106/1000</f>
        <v>70.970130000000012</v>
      </c>
      <c r="O106" s="632">
        <f>CCBASE!$I$45*B106/1000</f>
        <v>22.432500000000001</v>
      </c>
      <c r="P106" s="632">
        <f>CCBASE!$I$9</f>
        <v>39.7111223</v>
      </c>
      <c r="Q106" s="632">
        <f>CCBASE!$H$51</f>
        <v>5.16</v>
      </c>
      <c r="R106" s="632">
        <f>CCBASE!$I$4</f>
        <v>8.3986041999999994</v>
      </c>
      <c r="S106" s="632">
        <f>CCBASE!$I$8</f>
        <v>16.25526</v>
      </c>
      <c r="T106" s="632">
        <f>CCBASE!$I$44</f>
        <v>94.69</v>
      </c>
      <c r="U106" s="632">
        <f>CCBASE!$I$47*2</f>
        <v>28.82</v>
      </c>
      <c r="V106" s="632">
        <f>CCBASE!$I$46*1.5</f>
        <v>3.66</v>
      </c>
      <c r="W106" s="632">
        <f>CCBASE!$I$40*B106/1000</f>
        <v>92.943089999999998</v>
      </c>
      <c r="X106" s="632"/>
      <c r="Y106" s="632"/>
      <c r="Z106" s="632"/>
      <c r="AA106" s="632"/>
      <c r="AB106" s="632"/>
      <c r="AC106" s="632"/>
      <c r="AD106" s="632">
        <f>CCBASE!$I$36*2</f>
        <v>191.630124</v>
      </c>
    </row>
    <row r="107" spans="1:30" x14ac:dyDescent="0.2">
      <c r="A107" s="630" t="s">
        <v>173</v>
      </c>
      <c r="B107" s="630">
        <v>2500</v>
      </c>
      <c r="C107" s="630">
        <v>1250</v>
      </c>
      <c r="D107" s="630" t="str">
        <f t="shared" si="47"/>
        <v>UVF25001250</v>
      </c>
      <c r="E107" s="1046">
        <f t="shared" si="30"/>
        <v>2658.7024535000005</v>
      </c>
      <c r="F107" s="631">
        <v>29.5</v>
      </c>
      <c r="G107" s="632">
        <f>F107*CCBASE!$B$51</f>
        <v>1062</v>
      </c>
      <c r="H107" s="632">
        <f>CCBASE!$I$11*B107/1000</f>
        <v>402.48240549999997</v>
      </c>
      <c r="I107" s="632"/>
      <c r="J107" s="632"/>
      <c r="K107" s="632"/>
      <c r="L107" s="632">
        <f>CCBASE!$I$13*B107/1000</f>
        <v>598.84413749999999</v>
      </c>
      <c r="M107" s="632"/>
      <c r="N107" s="632">
        <f>CCBASE!$I$7*B107/1000</f>
        <v>78.855699999999999</v>
      </c>
      <c r="O107" s="632">
        <f>CCBASE!$I$45*B107/1000</f>
        <v>24.925000000000001</v>
      </c>
      <c r="P107" s="632">
        <f>CCBASE!$I$9</f>
        <v>39.7111223</v>
      </c>
      <c r="Q107" s="632">
        <f>CCBASE!$H$51</f>
        <v>5.16</v>
      </c>
      <c r="R107" s="632">
        <f>CCBASE!$I$4</f>
        <v>8.3986041999999994</v>
      </c>
      <c r="S107" s="632">
        <f>CCBASE!$I$8</f>
        <v>16.25526</v>
      </c>
      <c r="T107" s="632">
        <f>CCBASE!$I$44</f>
        <v>94.69</v>
      </c>
      <c r="U107" s="632">
        <f>CCBASE!$I$47*2</f>
        <v>28.82</v>
      </c>
      <c r="V107" s="632">
        <f>CCBASE!$I$46*1.5</f>
        <v>3.66</v>
      </c>
      <c r="W107" s="632">
        <f>CCBASE!$I$40*B107/1000</f>
        <v>103.27009999999999</v>
      </c>
      <c r="X107" s="632"/>
      <c r="Y107" s="632"/>
      <c r="Z107" s="632"/>
      <c r="AA107" s="632"/>
      <c r="AB107" s="632"/>
      <c r="AC107" s="632"/>
      <c r="AD107" s="632">
        <f>CCBASE!$I$36*2</f>
        <v>191.630124</v>
      </c>
    </row>
    <row r="108" spans="1:30" x14ac:dyDescent="0.2">
      <c r="A108" s="630" t="s">
        <v>173</v>
      </c>
      <c r="B108" s="630">
        <v>2750</v>
      </c>
      <c r="C108" s="630">
        <v>1250</v>
      </c>
      <c r="D108" s="630" t="str">
        <f t="shared" si="47"/>
        <v>UVF27501250</v>
      </c>
      <c r="E108" s="1046">
        <f t="shared" si="30"/>
        <v>2779.5401877999998</v>
      </c>
      <c r="F108" s="631">
        <v>29.5</v>
      </c>
      <c r="G108" s="632">
        <f>F108*CCBASE!$B$51</f>
        <v>1062</v>
      </c>
      <c r="H108" s="632">
        <f>CCBASE!$I$11*B108/1000</f>
        <v>442.73064604999996</v>
      </c>
      <c r="I108" s="632"/>
      <c r="J108" s="632"/>
      <c r="K108" s="632"/>
      <c r="L108" s="632">
        <f>CCBASE!$I$13*B108/1000</f>
        <v>658.72855125000001</v>
      </c>
      <c r="M108" s="632"/>
      <c r="N108" s="632">
        <f>CCBASE!$I$7*B108/1000</f>
        <v>86.74127</v>
      </c>
      <c r="O108" s="632">
        <f>CCBASE!$I$45*B108/1000</f>
        <v>27.4175</v>
      </c>
      <c r="P108" s="632">
        <f>CCBASE!$I$9</f>
        <v>39.7111223</v>
      </c>
      <c r="Q108" s="632">
        <f>CCBASE!$H$51</f>
        <v>5.16</v>
      </c>
      <c r="R108" s="632">
        <f>CCBASE!$I$4</f>
        <v>8.3986041999999994</v>
      </c>
      <c r="S108" s="632">
        <f>CCBASE!$I$8</f>
        <v>16.25526</v>
      </c>
      <c r="T108" s="632">
        <f>CCBASE!$I$44</f>
        <v>94.69</v>
      </c>
      <c r="U108" s="632">
        <f>CCBASE!$I$47*2</f>
        <v>28.82</v>
      </c>
      <c r="V108" s="632">
        <f>CCBASE!$I$46*1.5</f>
        <v>3.66</v>
      </c>
      <c r="W108" s="632">
        <f>CCBASE!$I$40*B108/1000</f>
        <v>113.59711</v>
      </c>
      <c r="X108" s="632"/>
      <c r="Y108" s="632"/>
      <c r="Z108" s="632"/>
      <c r="AA108" s="632"/>
      <c r="AB108" s="632"/>
      <c r="AC108" s="632"/>
      <c r="AD108" s="632">
        <f>CCBASE!$I$36*2</f>
        <v>191.630124</v>
      </c>
    </row>
    <row r="109" spans="1:30" x14ac:dyDescent="0.2">
      <c r="A109" s="630" t="s">
        <v>173</v>
      </c>
      <c r="B109" s="630">
        <v>3000</v>
      </c>
      <c r="C109" s="630">
        <v>1250</v>
      </c>
      <c r="D109" s="630" t="str">
        <f t="shared" ref="D109" si="51">A109&amp;B109&amp;C109</f>
        <v>UVF30001250</v>
      </c>
      <c r="E109" s="1046">
        <f t="shared" si="30"/>
        <v>2900.3779220999995</v>
      </c>
      <c r="F109" s="631">
        <v>29.5</v>
      </c>
      <c r="G109" s="632">
        <f>F109*CCBASE!$B$51</f>
        <v>1062</v>
      </c>
      <c r="H109" s="632">
        <f>CCBASE!$I$11*B109/1000</f>
        <v>482.97888659999995</v>
      </c>
      <c r="I109" s="632"/>
      <c r="J109" s="632"/>
      <c r="K109" s="632"/>
      <c r="L109" s="632">
        <f>CCBASE!$I$13*B109/1000</f>
        <v>718.61296499999992</v>
      </c>
      <c r="M109" s="632"/>
      <c r="N109" s="632">
        <f>CCBASE!$I$7*B109/1000</f>
        <v>94.626840000000016</v>
      </c>
      <c r="O109" s="632">
        <f>CCBASE!$I$45*B109/1000</f>
        <v>29.910000000000004</v>
      </c>
      <c r="P109" s="632">
        <f>CCBASE!$I$9</f>
        <v>39.7111223</v>
      </c>
      <c r="Q109" s="632">
        <f>CCBASE!$H$51</f>
        <v>5.16</v>
      </c>
      <c r="R109" s="632">
        <f>CCBASE!$I$4</f>
        <v>8.3986041999999994</v>
      </c>
      <c r="S109" s="632">
        <f>CCBASE!$I$8</f>
        <v>16.25526</v>
      </c>
      <c r="T109" s="632">
        <f>CCBASE!$I$44</f>
        <v>94.69</v>
      </c>
      <c r="U109" s="632">
        <f>CCBASE!$I$47*2</f>
        <v>28.82</v>
      </c>
      <c r="V109" s="632">
        <f>CCBASE!$I$46*1.5</f>
        <v>3.66</v>
      </c>
      <c r="W109" s="632">
        <f>CCBASE!$I$40*B109/1000</f>
        <v>123.92412</v>
      </c>
      <c r="X109" s="632"/>
      <c r="Y109" s="632"/>
      <c r="Z109" s="632"/>
      <c r="AA109" s="632"/>
      <c r="AB109" s="632"/>
      <c r="AC109" s="632"/>
      <c r="AD109" s="632">
        <f>CCBASE!$I$36*2</f>
        <v>191.630124</v>
      </c>
    </row>
    <row r="110" spans="1:30" x14ac:dyDescent="0.2">
      <c r="A110" s="630" t="s">
        <v>173</v>
      </c>
      <c r="B110" s="630">
        <v>1000</v>
      </c>
      <c r="C110" s="630">
        <v>1500</v>
      </c>
      <c r="D110" s="630" t="str">
        <f t="shared" si="47"/>
        <v>UVF10001500</v>
      </c>
      <c r="E110" s="1046">
        <f t="shared" si="30"/>
        <v>1975.2393594</v>
      </c>
      <c r="F110" s="631">
        <v>29.5</v>
      </c>
      <c r="G110" s="632">
        <f>F110*CCBASE!$B$51</f>
        <v>1062</v>
      </c>
      <c r="H110" s="632">
        <f>CCBASE!$I$11*B110/1000</f>
        <v>160.99296219999999</v>
      </c>
      <c r="I110" s="632"/>
      <c r="J110" s="632"/>
      <c r="K110" s="632"/>
      <c r="L110" s="632">
        <f>CCBASE!$I$13*B110/1000</f>
        <v>239.537655</v>
      </c>
      <c r="M110" s="632"/>
      <c r="N110" s="632">
        <f>CCBASE!$I$7*B110/1000</f>
        <v>31.542280000000002</v>
      </c>
      <c r="O110" s="632">
        <f>CCBASE!$I$45*B110/1000</f>
        <v>9.9700000000000006</v>
      </c>
      <c r="P110" s="632">
        <f>CCBASE!$I$10</f>
        <v>30.661922000000001</v>
      </c>
      <c r="Q110" s="632">
        <f>CCBASE!$H$51</f>
        <v>5.16</v>
      </c>
      <c r="R110" s="632">
        <f>CCBASE!$I$4</f>
        <v>8.3986041999999994</v>
      </c>
      <c r="S110" s="632">
        <f>CCBASE!$I$8</f>
        <v>16.25526</v>
      </c>
      <c r="T110" s="632">
        <f>CCBASE!$I$44</f>
        <v>94.69</v>
      </c>
      <c r="U110" s="632">
        <f>CCBASE!$I$47</f>
        <v>14.41</v>
      </c>
      <c r="V110" s="632">
        <f>CCBASE!$I$46</f>
        <v>2.44</v>
      </c>
      <c r="W110" s="632">
        <f>CCBASE!$I$41*B110/1000</f>
        <v>59.051569999999998</v>
      </c>
      <c r="X110" s="632"/>
      <c r="Y110" s="632"/>
      <c r="Z110" s="632"/>
      <c r="AA110" s="632"/>
      <c r="AB110" s="632"/>
      <c r="AC110" s="632"/>
      <c r="AD110" s="632">
        <f>CCBASE!$I$37*2</f>
        <v>240.12910599999998</v>
      </c>
    </row>
    <row r="111" spans="1:30" x14ac:dyDescent="0.2">
      <c r="A111" s="630" t="s">
        <v>173</v>
      </c>
      <c r="B111" s="630">
        <v>1250</v>
      </c>
      <c r="C111" s="630">
        <v>1500</v>
      </c>
      <c r="D111" s="630" t="str">
        <f t="shared" ref="D111" si="52">A111&amp;B111&amp;C111</f>
        <v>UVF12501500</v>
      </c>
      <c r="E111" s="1046">
        <f t="shared" si="30"/>
        <v>2114.9229762</v>
      </c>
      <c r="F111" s="631">
        <v>29.5</v>
      </c>
      <c r="G111" s="632">
        <f>F111*CCBASE!$B$51</f>
        <v>1062</v>
      </c>
      <c r="H111" s="632">
        <f>CCBASE!$I$11*B111/1000</f>
        <v>201.24120274999999</v>
      </c>
      <c r="I111" s="632"/>
      <c r="J111" s="632"/>
      <c r="K111" s="632"/>
      <c r="L111" s="632">
        <f>CCBASE!$I$13*B111/1000</f>
        <v>299.42206874999999</v>
      </c>
      <c r="M111" s="632"/>
      <c r="N111" s="632">
        <f>CCBASE!$I$7*B111/1000</f>
        <v>39.427849999999999</v>
      </c>
      <c r="O111" s="632">
        <f>CCBASE!$I$45*B111/1000</f>
        <v>12.4625</v>
      </c>
      <c r="P111" s="632">
        <f>CCBASE!$I$10</f>
        <v>30.661922000000001</v>
      </c>
      <c r="Q111" s="632">
        <f>CCBASE!$H$51</f>
        <v>5.16</v>
      </c>
      <c r="R111" s="632">
        <f>CCBASE!$I$4</f>
        <v>8.3986041999999994</v>
      </c>
      <c r="S111" s="632">
        <f>CCBASE!$I$8</f>
        <v>16.25526</v>
      </c>
      <c r="T111" s="632">
        <f>CCBASE!$I$44</f>
        <v>94.69</v>
      </c>
      <c r="U111" s="632">
        <f>CCBASE!$I$47*2</f>
        <v>28.82</v>
      </c>
      <c r="V111" s="632">
        <f>CCBASE!$I$46</f>
        <v>2.44</v>
      </c>
      <c r="W111" s="632">
        <f>CCBASE!$I$41*B111/1000</f>
        <v>73.814462499999991</v>
      </c>
      <c r="X111" s="632"/>
      <c r="Y111" s="632"/>
      <c r="Z111" s="632"/>
      <c r="AA111" s="632"/>
      <c r="AB111" s="632"/>
      <c r="AC111" s="632"/>
      <c r="AD111" s="632">
        <f>CCBASE!$I$37*2</f>
        <v>240.12910599999998</v>
      </c>
    </row>
    <row r="112" spans="1:30" x14ac:dyDescent="0.2">
      <c r="A112" s="630" t="s">
        <v>173</v>
      </c>
      <c r="B112" s="630">
        <v>1500</v>
      </c>
      <c r="C112" s="630">
        <v>1500</v>
      </c>
      <c r="D112" s="630" t="str">
        <f t="shared" si="47"/>
        <v>UVF15001500</v>
      </c>
      <c r="E112" s="1046">
        <f t="shared" si="30"/>
        <v>2240.1965929999997</v>
      </c>
      <c r="F112" s="631">
        <v>29.5</v>
      </c>
      <c r="G112" s="632">
        <f>F112*CCBASE!$B$51</f>
        <v>1062</v>
      </c>
      <c r="H112" s="632">
        <f>CCBASE!$I$11*B112/1000</f>
        <v>241.48944329999998</v>
      </c>
      <c r="I112" s="632"/>
      <c r="J112" s="632"/>
      <c r="K112" s="632"/>
      <c r="L112" s="632">
        <f>CCBASE!$I$13*B112/1000</f>
        <v>359.30648249999996</v>
      </c>
      <c r="M112" s="632"/>
      <c r="N112" s="632">
        <f>CCBASE!$I$7*B112/1000</f>
        <v>47.313420000000008</v>
      </c>
      <c r="O112" s="632">
        <f>CCBASE!$I$45*B112/1000</f>
        <v>14.955000000000002</v>
      </c>
      <c r="P112" s="632">
        <f>CCBASE!$I$10</f>
        <v>30.661922000000001</v>
      </c>
      <c r="Q112" s="632">
        <f>CCBASE!$H$51</f>
        <v>5.16</v>
      </c>
      <c r="R112" s="632">
        <f>CCBASE!$I$4</f>
        <v>8.3986041999999994</v>
      </c>
      <c r="S112" s="632">
        <f>CCBASE!$I$8</f>
        <v>16.25526</v>
      </c>
      <c r="T112" s="632">
        <f>CCBASE!$I$44</f>
        <v>94.69</v>
      </c>
      <c r="U112" s="632">
        <f>CCBASE!$I$47*2</f>
        <v>28.82</v>
      </c>
      <c r="V112" s="632">
        <f>CCBASE!$I$46</f>
        <v>2.44</v>
      </c>
      <c r="W112" s="632">
        <f>CCBASE!$I$41*B112/1000</f>
        <v>88.577354999999997</v>
      </c>
      <c r="X112" s="632"/>
      <c r="Y112" s="632"/>
      <c r="Z112" s="632"/>
      <c r="AA112" s="632"/>
      <c r="AB112" s="632"/>
      <c r="AC112" s="632"/>
      <c r="AD112" s="632">
        <f>CCBASE!$I$37*2</f>
        <v>240.12910599999998</v>
      </c>
    </row>
    <row r="113" spans="1:30" x14ac:dyDescent="0.2">
      <c r="A113" s="630" t="s">
        <v>173</v>
      </c>
      <c r="B113" s="630">
        <v>1750</v>
      </c>
      <c r="C113" s="630">
        <v>1500</v>
      </c>
      <c r="D113" s="630" t="str">
        <f t="shared" ref="D113" si="53">A113&amp;B113&amp;C113</f>
        <v>UVF17501500</v>
      </c>
      <c r="E113" s="1046">
        <f t="shared" si="30"/>
        <v>2375.7394100999995</v>
      </c>
      <c r="F113" s="631">
        <v>29.5</v>
      </c>
      <c r="G113" s="632">
        <f>F113*CCBASE!$B$51</f>
        <v>1062</v>
      </c>
      <c r="H113" s="632">
        <f>CCBASE!$I$11*B113/1000</f>
        <v>281.73768385</v>
      </c>
      <c r="I113" s="632"/>
      <c r="J113" s="632"/>
      <c r="K113" s="632"/>
      <c r="L113" s="632">
        <f>CCBASE!$I$13*B113/1000</f>
        <v>419.19089624999998</v>
      </c>
      <c r="M113" s="632"/>
      <c r="N113" s="632">
        <f>CCBASE!$I$7*B113/1000</f>
        <v>55.198990000000002</v>
      </c>
      <c r="O113" s="632">
        <f>CCBASE!$I$45*B113/1000</f>
        <v>17.447500000000002</v>
      </c>
      <c r="P113" s="632">
        <f>CCBASE!$I$9</f>
        <v>39.7111223</v>
      </c>
      <c r="Q113" s="632">
        <f>CCBASE!$H$51</f>
        <v>5.16</v>
      </c>
      <c r="R113" s="632">
        <f>CCBASE!$I$4</f>
        <v>8.3986041999999994</v>
      </c>
      <c r="S113" s="632">
        <f>CCBASE!$I$8</f>
        <v>16.25526</v>
      </c>
      <c r="T113" s="632">
        <f>CCBASE!$I$44</f>
        <v>94.69</v>
      </c>
      <c r="U113" s="632">
        <f>CCBASE!$I$47*2</f>
        <v>28.82</v>
      </c>
      <c r="V113" s="632">
        <f>CCBASE!$I$46*1.5</f>
        <v>3.66</v>
      </c>
      <c r="W113" s="632">
        <f>CCBASE!$I$41*B113/1000</f>
        <v>103.3402475</v>
      </c>
      <c r="X113" s="632"/>
      <c r="Y113" s="632"/>
      <c r="Z113" s="632"/>
      <c r="AA113" s="632"/>
      <c r="AB113" s="632"/>
      <c r="AC113" s="632"/>
      <c r="AD113" s="632">
        <f>CCBASE!$I$37*2</f>
        <v>240.12910599999998</v>
      </c>
    </row>
    <row r="114" spans="1:30" x14ac:dyDescent="0.2">
      <c r="A114" s="630" t="s">
        <v>173</v>
      </c>
      <c r="B114" s="630">
        <v>2000</v>
      </c>
      <c r="C114" s="630">
        <v>1500</v>
      </c>
      <c r="D114" s="630" t="str">
        <f t="shared" si="47"/>
        <v>UVF20001500</v>
      </c>
      <c r="E114" s="1046">
        <f t="shared" si="30"/>
        <v>2501.0130268999997</v>
      </c>
      <c r="F114" s="631">
        <v>29.5</v>
      </c>
      <c r="G114" s="632">
        <f>F114*CCBASE!$B$51</f>
        <v>1062</v>
      </c>
      <c r="H114" s="632">
        <f>CCBASE!$I$11*B114/1000</f>
        <v>321.98592439999999</v>
      </c>
      <c r="I114" s="632"/>
      <c r="J114" s="632"/>
      <c r="K114" s="632"/>
      <c r="L114" s="632">
        <f>CCBASE!$I$13*B114/1000</f>
        <v>479.07531</v>
      </c>
      <c r="M114" s="632"/>
      <c r="N114" s="632">
        <f>CCBASE!$I$7*B114/1000</f>
        <v>63.084560000000003</v>
      </c>
      <c r="O114" s="632">
        <f>CCBASE!$I$45*B114/1000</f>
        <v>19.940000000000001</v>
      </c>
      <c r="P114" s="632">
        <f>CCBASE!$I$9</f>
        <v>39.7111223</v>
      </c>
      <c r="Q114" s="632">
        <f>CCBASE!$H$51</f>
        <v>5.16</v>
      </c>
      <c r="R114" s="632">
        <f>CCBASE!$I$4</f>
        <v>8.3986041999999994</v>
      </c>
      <c r="S114" s="632">
        <f>CCBASE!$I$8</f>
        <v>16.25526</v>
      </c>
      <c r="T114" s="632">
        <f>CCBASE!$I$44</f>
        <v>94.69</v>
      </c>
      <c r="U114" s="632">
        <f>CCBASE!$I$47*2</f>
        <v>28.82</v>
      </c>
      <c r="V114" s="632">
        <f>CCBASE!$I$46*1.5</f>
        <v>3.66</v>
      </c>
      <c r="W114" s="632">
        <f>CCBASE!$I$41*B114/1000</f>
        <v>118.10314</v>
      </c>
      <c r="X114" s="632"/>
      <c r="Y114" s="632"/>
      <c r="Z114" s="632"/>
      <c r="AA114" s="632"/>
      <c r="AB114" s="632"/>
      <c r="AC114" s="632"/>
      <c r="AD114" s="632">
        <f>CCBASE!$I$37*2</f>
        <v>240.12910599999998</v>
      </c>
    </row>
    <row r="115" spans="1:30" x14ac:dyDescent="0.2">
      <c r="A115" s="630" t="s">
        <v>173</v>
      </c>
      <c r="B115" s="630">
        <v>2250</v>
      </c>
      <c r="C115" s="630">
        <v>1500</v>
      </c>
      <c r="D115" s="630" t="str">
        <f t="shared" ref="D115" si="54">A115&amp;B115&amp;C115</f>
        <v>UVF22501500</v>
      </c>
      <c r="E115" s="1046">
        <f t="shared" si="30"/>
        <v>2662.2866436999998</v>
      </c>
      <c r="F115" s="631">
        <v>30.5</v>
      </c>
      <c r="G115" s="632">
        <f>F115*CCBASE!$B$51</f>
        <v>1098</v>
      </c>
      <c r="H115" s="632">
        <f>CCBASE!$I$11*B115/1000</f>
        <v>362.23416494999998</v>
      </c>
      <c r="I115" s="632"/>
      <c r="J115" s="632"/>
      <c r="K115" s="632"/>
      <c r="L115" s="632">
        <f>CCBASE!$I$13*B115/1000</f>
        <v>538.95972374999997</v>
      </c>
      <c r="M115" s="632"/>
      <c r="N115" s="632">
        <f>CCBASE!$I$7*B115/1000</f>
        <v>70.970130000000012</v>
      </c>
      <c r="O115" s="632">
        <f>CCBASE!$I$45*B115/1000</f>
        <v>22.432500000000001</v>
      </c>
      <c r="P115" s="632">
        <f>CCBASE!$I$9</f>
        <v>39.7111223</v>
      </c>
      <c r="Q115" s="632">
        <f>CCBASE!$H$51</f>
        <v>5.16</v>
      </c>
      <c r="R115" s="632">
        <f>CCBASE!$I$4</f>
        <v>8.3986041999999994</v>
      </c>
      <c r="S115" s="632">
        <f>CCBASE!$I$8</f>
        <v>16.25526</v>
      </c>
      <c r="T115" s="632">
        <f>CCBASE!$I$44</f>
        <v>94.69</v>
      </c>
      <c r="U115" s="632">
        <f>CCBASE!$I$47*2</f>
        <v>28.82</v>
      </c>
      <c r="V115" s="632">
        <f>CCBASE!$I$46*1.5</f>
        <v>3.66</v>
      </c>
      <c r="W115" s="632">
        <f>CCBASE!$I$41*B115/1000</f>
        <v>132.86603249999999</v>
      </c>
      <c r="X115" s="632"/>
      <c r="Y115" s="632"/>
      <c r="Z115" s="632"/>
      <c r="AA115" s="632"/>
      <c r="AB115" s="632"/>
      <c r="AC115" s="632"/>
      <c r="AD115" s="632">
        <f>CCBASE!$I$37*2</f>
        <v>240.12910599999998</v>
      </c>
    </row>
    <row r="116" spans="1:30" x14ac:dyDescent="0.2">
      <c r="A116" s="630" t="s">
        <v>173</v>
      </c>
      <c r="B116" s="630">
        <v>2500</v>
      </c>
      <c r="C116" s="630">
        <v>1500</v>
      </c>
      <c r="D116" s="630" t="str">
        <f t="shared" si="47"/>
        <v>UVF25001500</v>
      </c>
      <c r="E116" s="1046">
        <f t="shared" si="30"/>
        <v>2787.5602605000004</v>
      </c>
      <c r="F116" s="631">
        <v>30.5</v>
      </c>
      <c r="G116" s="632">
        <f>F116*CCBASE!$B$51</f>
        <v>1098</v>
      </c>
      <c r="H116" s="632">
        <f>CCBASE!$I$11*B116/1000</f>
        <v>402.48240549999997</v>
      </c>
      <c r="I116" s="632"/>
      <c r="J116" s="632"/>
      <c r="K116" s="632"/>
      <c r="L116" s="632">
        <f>CCBASE!$I$13*B116/1000</f>
        <v>598.84413749999999</v>
      </c>
      <c r="M116" s="632"/>
      <c r="N116" s="632">
        <f>CCBASE!$I$7*B116/1000</f>
        <v>78.855699999999999</v>
      </c>
      <c r="O116" s="632">
        <f>CCBASE!$I$45*B116/1000</f>
        <v>24.925000000000001</v>
      </c>
      <c r="P116" s="632">
        <f>CCBASE!$I$9</f>
        <v>39.7111223</v>
      </c>
      <c r="Q116" s="632">
        <f>CCBASE!$H$51</f>
        <v>5.16</v>
      </c>
      <c r="R116" s="632">
        <f>CCBASE!$I$4</f>
        <v>8.3986041999999994</v>
      </c>
      <c r="S116" s="632">
        <f>CCBASE!$I$8</f>
        <v>16.25526</v>
      </c>
      <c r="T116" s="632">
        <f>CCBASE!$I$44</f>
        <v>94.69</v>
      </c>
      <c r="U116" s="632">
        <f>CCBASE!$I$47*2</f>
        <v>28.82</v>
      </c>
      <c r="V116" s="632">
        <f>CCBASE!$I$46*1.5</f>
        <v>3.66</v>
      </c>
      <c r="W116" s="632">
        <f>CCBASE!$I$41*B116/1000</f>
        <v>147.62892499999998</v>
      </c>
      <c r="X116" s="632"/>
      <c r="Y116" s="632"/>
      <c r="Z116" s="632"/>
      <c r="AA116" s="632"/>
      <c r="AB116" s="632"/>
      <c r="AC116" s="632"/>
      <c r="AD116" s="632">
        <f>CCBASE!$I$37*2</f>
        <v>240.12910599999998</v>
      </c>
    </row>
    <row r="117" spans="1:30" x14ac:dyDescent="0.2">
      <c r="A117" s="630" t="s">
        <v>173</v>
      </c>
      <c r="B117" s="630">
        <v>2750</v>
      </c>
      <c r="C117" s="630">
        <v>1500</v>
      </c>
      <c r="D117" s="630" t="str">
        <f t="shared" ref="D117" si="55">A117&amp;B117&amp;C117</f>
        <v>UVF27501500</v>
      </c>
      <c r="E117" s="1046">
        <f t="shared" si="30"/>
        <v>2912.8338772999996</v>
      </c>
      <c r="F117" s="631">
        <v>30.5</v>
      </c>
      <c r="G117" s="632">
        <f>F117*CCBASE!$B$51</f>
        <v>1098</v>
      </c>
      <c r="H117" s="632">
        <f>CCBASE!$I$11*B117/1000</f>
        <v>442.73064604999996</v>
      </c>
      <c r="I117" s="632"/>
      <c r="J117" s="632"/>
      <c r="K117" s="632"/>
      <c r="L117" s="632">
        <f>CCBASE!$I$13*B117/1000</f>
        <v>658.72855125000001</v>
      </c>
      <c r="M117" s="632"/>
      <c r="N117" s="632">
        <f>CCBASE!$I$7*B117/1000</f>
        <v>86.74127</v>
      </c>
      <c r="O117" s="632">
        <f>CCBASE!$I$45*B117/1000</f>
        <v>27.4175</v>
      </c>
      <c r="P117" s="632">
        <f>CCBASE!$I$9</f>
        <v>39.7111223</v>
      </c>
      <c r="Q117" s="632">
        <f>CCBASE!$H$51</f>
        <v>5.16</v>
      </c>
      <c r="R117" s="632">
        <f>CCBASE!$I$4</f>
        <v>8.3986041999999994</v>
      </c>
      <c r="S117" s="632">
        <f>CCBASE!$I$8</f>
        <v>16.25526</v>
      </c>
      <c r="T117" s="632">
        <f>CCBASE!$I$44</f>
        <v>94.69</v>
      </c>
      <c r="U117" s="632">
        <f>CCBASE!$I$47*2</f>
        <v>28.82</v>
      </c>
      <c r="V117" s="632">
        <f>CCBASE!$I$46*1.5</f>
        <v>3.66</v>
      </c>
      <c r="W117" s="632">
        <f>CCBASE!$I$41*B117/1000</f>
        <v>162.3918175</v>
      </c>
      <c r="X117" s="632"/>
      <c r="Y117" s="632"/>
      <c r="Z117" s="632"/>
      <c r="AA117" s="632"/>
      <c r="AB117" s="632"/>
      <c r="AC117" s="632"/>
      <c r="AD117" s="632">
        <f>CCBASE!$I$37*2</f>
        <v>240.12910599999998</v>
      </c>
    </row>
    <row r="118" spans="1:30" x14ac:dyDescent="0.2">
      <c r="A118" s="630" t="s">
        <v>173</v>
      </c>
      <c r="B118" s="630">
        <v>3000</v>
      </c>
      <c r="C118" s="630">
        <v>1500</v>
      </c>
      <c r="D118" s="630" t="str">
        <f t="shared" si="47"/>
        <v>UVF30001500</v>
      </c>
      <c r="E118" s="1046">
        <f t="shared" si="30"/>
        <v>3038.1074940999993</v>
      </c>
      <c r="F118" s="631">
        <v>30.5</v>
      </c>
      <c r="G118" s="632">
        <f>F118*CCBASE!$B$51</f>
        <v>1098</v>
      </c>
      <c r="H118" s="632">
        <f>CCBASE!$I$11*B118/1000</f>
        <v>482.97888659999995</v>
      </c>
      <c r="I118" s="632"/>
      <c r="J118" s="632"/>
      <c r="K118" s="632"/>
      <c r="L118" s="632">
        <f>CCBASE!$I$13*B118/1000</f>
        <v>718.61296499999992</v>
      </c>
      <c r="M118" s="632"/>
      <c r="N118" s="632">
        <f>CCBASE!$I$7*B118/1000</f>
        <v>94.626840000000016</v>
      </c>
      <c r="O118" s="632">
        <f>CCBASE!$I$45*B118/1000</f>
        <v>29.910000000000004</v>
      </c>
      <c r="P118" s="632">
        <f>CCBASE!$I$9</f>
        <v>39.7111223</v>
      </c>
      <c r="Q118" s="632">
        <f>CCBASE!$H$51</f>
        <v>5.16</v>
      </c>
      <c r="R118" s="632">
        <f>CCBASE!$I$4</f>
        <v>8.3986041999999994</v>
      </c>
      <c r="S118" s="632">
        <f>CCBASE!$I$8</f>
        <v>16.25526</v>
      </c>
      <c r="T118" s="632">
        <f>CCBASE!$I$44</f>
        <v>94.69</v>
      </c>
      <c r="U118" s="632">
        <f>CCBASE!$I$47*2</f>
        <v>28.82</v>
      </c>
      <c r="V118" s="632">
        <f>CCBASE!$I$46*1.5</f>
        <v>3.66</v>
      </c>
      <c r="W118" s="632">
        <f>CCBASE!$I$41*B118/1000</f>
        <v>177.15470999999999</v>
      </c>
      <c r="X118" s="632"/>
      <c r="Y118" s="632"/>
      <c r="Z118" s="632"/>
      <c r="AA118" s="632"/>
      <c r="AB118" s="632"/>
      <c r="AC118" s="632"/>
      <c r="AD118" s="632">
        <f>CCBASE!$I$37*2</f>
        <v>240.12910599999998</v>
      </c>
    </row>
    <row r="119" spans="1:30" x14ac:dyDescent="0.2">
      <c r="A119" s="630" t="s">
        <v>173</v>
      </c>
      <c r="B119" s="630">
        <v>1000</v>
      </c>
      <c r="C119" s="630">
        <v>1750</v>
      </c>
      <c r="D119" s="630" t="str">
        <f t="shared" si="47"/>
        <v>UVF10001750</v>
      </c>
      <c r="E119" s="1046">
        <f t="shared" si="30"/>
        <v>2019.0067334</v>
      </c>
      <c r="F119" s="631">
        <v>29.5</v>
      </c>
      <c r="G119" s="632">
        <f>F119*CCBASE!$B$51</f>
        <v>1062</v>
      </c>
      <c r="H119" s="632">
        <f>CCBASE!$I$11*B119/1000</f>
        <v>160.99296219999999</v>
      </c>
      <c r="I119" s="632"/>
      <c r="J119" s="632"/>
      <c r="K119" s="632"/>
      <c r="L119" s="632">
        <f>CCBASE!$I$13*B119/1000</f>
        <v>239.537655</v>
      </c>
      <c r="M119" s="632"/>
      <c r="N119" s="632">
        <f>CCBASE!$I$7*B119/1000</f>
        <v>31.542280000000002</v>
      </c>
      <c r="O119" s="632">
        <f>CCBASE!$I$45*B119/1000</f>
        <v>9.9700000000000006</v>
      </c>
      <c r="P119" s="632">
        <f>CCBASE!$I$10</f>
        <v>30.661922000000001</v>
      </c>
      <c r="Q119" s="632">
        <f>CCBASE!$H$51</f>
        <v>5.16</v>
      </c>
      <c r="R119" s="632">
        <f>CCBASE!$I$4</f>
        <v>8.3986041999999994</v>
      </c>
      <c r="S119" s="632">
        <f>CCBASE!$I$8</f>
        <v>16.25526</v>
      </c>
      <c r="T119" s="632">
        <f>CCBASE!$I$44</f>
        <v>94.69</v>
      </c>
      <c r="U119" s="632">
        <f>CCBASE!$I$47</f>
        <v>14.41</v>
      </c>
      <c r="V119" s="632">
        <f>CCBASE!$I$46</f>
        <v>2.44</v>
      </c>
      <c r="W119" s="632">
        <f>CCBASE!$I$42*B119/1000</f>
        <v>70.880589999999998</v>
      </c>
      <c r="X119" s="632"/>
      <c r="Y119" s="632"/>
      <c r="Z119" s="632"/>
      <c r="AA119" s="632"/>
      <c r="AB119" s="632"/>
      <c r="AC119" s="632"/>
      <c r="AD119" s="632">
        <f>CCBASE!$I$38*2</f>
        <v>272.06745999999998</v>
      </c>
    </row>
    <row r="120" spans="1:30" x14ac:dyDescent="0.2">
      <c r="A120" s="630" t="s">
        <v>173</v>
      </c>
      <c r="B120" s="630">
        <v>1250</v>
      </c>
      <c r="C120" s="630">
        <v>1750</v>
      </c>
      <c r="D120" s="630" t="str">
        <f t="shared" ref="D120" si="56">A120&amp;B120&amp;C120</f>
        <v>UVF12501750</v>
      </c>
      <c r="E120" s="1046">
        <f t="shared" si="30"/>
        <v>2161.6476051999998</v>
      </c>
      <c r="F120" s="631">
        <v>29.5</v>
      </c>
      <c r="G120" s="632">
        <f>F120*CCBASE!$B$51</f>
        <v>1062</v>
      </c>
      <c r="H120" s="632">
        <f>CCBASE!$I$11*B120/1000</f>
        <v>201.24120274999999</v>
      </c>
      <c r="I120" s="632"/>
      <c r="J120" s="632"/>
      <c r="K120" s="632"/>
      <c r="L120" s="632">
        <f>CCBASE!$I$13*B120/1000</f>
        <v>299.42206874999999</v>
      </c>
      <c r="M120" s="632"/>
      <c r="N120" s="632">
        <f>CCBASE!$I$7*B120/1000</f>
        <v>39.427849999999999</v>
      </c>
      <c r="O120" s="632">
        <f>CCBASE!$I$45*B120/1000</f>
        <v>12.4625</v>
      </c>
      <c r="P120" s="632">
        <f>CCBASE!$I$10</f>
        <v>30.661922000000001</v>
      </c>
      <c r="Q120" s="632">
        <f>CCBASE!$H$51</f>
        <v>5.16</v>
      </c>
      <c r="R120" s="632">
        <f>CCBASE!$I$4</f>
        <v>8.3986041999999994</v>
      </c>
      <c r="S120" s="632">
        <f>CCBASE!$I$8</f>
        <v>16.25526</v>
      </c>
      <c r="T120" s="632">
        <f>CCBASE!$I$44</f>
        <v>94.69</v>
      </c>
      <c r="U120" s="632">
        <f>CCBASE!$I$47*2</f>
        <v>28.82</v>
      </c>
      <c r="V120" s="632">
        <f>CCBASE!$I$46</f>
        <v>2.44</v>
      </c>
      <c r="W120" s="632">
        <f>CCBASE!$I$42*B120/1000</f>
        <v>88.600737500000008</v>
      </c>
      <c r="X120" s="632"/>
      <c r="Y120" s="632"/>
      <c r="Z120" s="632"/>
      <c r="AA120" s="632"/>
      <c r="AB120" s="632"/>
      <c r="AC120" s="632"/>
      <c r="AD120" s="632">
        <f>CCBASE!$I$38*2</f>
        <v>272.06745999999998</v>
      </c>
    </row>
    <row r="121" spans="1:30" x14ac:dyDescent="0.2">
      <c r="A121" s="630" t="s">
        <v>173</v>
      </c>
      <c r="B121" s="630">
        <v>1500</v>
      </c>
      <c r="C121" s="630">
        <v>1750</v>
      </c>
      <c r="D121" s="630" t="str">
        <f t="shared" si="47"/>
        <v>UVF15001750</v>
      </c>
      <c r="E121" s="1046">
        <f t="shared" si="30"/>
        <v>2289.8784769999997</v>
      </c>
      <c r="F121" s="631">
        <v>29.5</v>
      </c>
      <c r="G121" s="632">
        <f>F121*CCBASE!$B$51</f>
        <v>1062</v>
      </c>
      <c r="H121" s="632">
        <f>CCBASE!$I$11*B121/1000</f>
        <v>241.48944329999998</v>
      </c>
      <c r="I121" s="632"/>
      <c r="J121" s="632"/>
      <c r="K121" s="632"/>
      <c r="L121" s="632">
        <f>CCBASE!$I$13*B121/1000</f>
        <v>359.30648249999996</v>
      </c>
      <c r="M121" s="632"/>
      <c r="N121" s="632">
        <f>CCBASE!$I$7*B121/1000</f>
        <v>47.313420000000008</v>
      </c>
      <c r="O121" s="632">
        <f>CCBASE!$I$45*B121/1000</f>
        <v>14.955000000000002</v>
      </c>
      <c r="P121" s="632">
        <f>CCBASE!$I$10</f>
        <v>30.661922000000001</v>
      </c>
      <c r="Q121" s="632">
        <f>CCBASE!$H$51</f>
        <v>5.16</v>
      </c>
      <c r="R121" s="632">
        <f>CCBASE!$I$4</f>
        <v>8.3986041999999994</v>
      </c>
      <c r="S121" s="632">
        <f>CCBASE!$I$8</f>
        <v>16.25526</v>
      </c>
      <c r="T121" s="632">
        <f>CCBASE!$I$44</f>
        <v>94.69</v>
      </c>
      <c r="U121" s="632">
        <f>CCBASE!$I$47*2</f>
        <v>28.82</v>
      </c>
      <c r="V121" s="632">
        <f>CCBASE!$I$46</f>
        <v>2.44</v>
      </c>
      <c r="W121" s="632">
        <f>CCBASE!$I$42*B121/1000</f>
        <v>106.32088499999999</v>
      </c>
      <c r="X121" s="632"/>
      <c r="Y121" s="632"/>
      <c r="Z121" s="632"/>
      <c r="AA121" s="632"/>
      <c r="AB121" s="632"/>
      <c r="AC121" s="632"/>
      <c r="AD121" s="632">
        <f>CCBASE!$I$38*2</f>
        <v>272.06745999999998</v>
      </c>
    </row>
    <row r="122" spans="1:30" x14ac:dyDescent="0.2">
      <c r="A122" s="630" t="s">
        <v>173</v>
      </c>
      <c r="B122" s="630">
        <v>1750</v>
      </c>
      <c r="C122" s="630">
        <v>1750</v>
      </c>
      <c r="D122" s="630" t="str">
        <f t="shared" ref="D122" si="57">A122&amp;B122&amp;C122</f>
        <v>UVF17501750</v>
      </c>
      <c r="E122" s="1046">
        <f t="shared" si="30"/>
        <v>2428.3785490999999</v>
      </c>
      <c r="F122" s="631">
        <v>29.5</v>
      </c>
      <c r="G122" s="632">
        <f>F122*CCBASE!$B$51</f>
        <v>1062</v>
      </c>
      <c r="H122" s="632">
        <f>CCBASE!$I$11*B122/1000</f>
        <v>281.73768385</v>
      </c>
      <c r="I122" s="632"/>
      <c r="J122" s="632"/>
      <c r="K122" s="632"/>
      <c r="L122" s="632">
        <f>CCBASE!$I$13*B122/1000</f>
        <v>419.19089624999998</v>
      </c>
      <c r="M122" s="632"/>
      <c r="N122" s="632">
        <f>CCBASE!$I$7*B122/1000</f>
        <v>55.198990000000002</v>
      </c>
      <c r="O122" s="632">
        <f>CCBASE!$I$45*B122/1000</f>
        <v>17.447500000000002</v>
      </c>
      <c r="P122" s="632">
        <f>CCBASE!$I$9</f>
        <v>39.7111223</v>
      </c>
      <c r="Q122" s="632">
        <f>CCBASE!$H$51</f>
        <v>5.16</v>
      </c>
      <c r="R122" s="632">
        <f>CCBASE!$I$4</f>
        <v>8.3986041999999994</v>
      </c>
      <c r="S122" s="632">
        <f>CCBASE!$I$8</f>
        <v>16.25526</v>
      </c>
      <c r="T122" s="632">
        <f>CCBASE!$I$44</f>
        <v>94.69</v>
      </c>
      <c r="U122" s="632">
        <f>CCBASE!$I$47*2</f>
        <v>28.82</v>
      </c>
      <c r="V122" s="632">
        <f>CCBASE!$I$46*1.5</f>
        <v>3.66</v>
      </c>
      <c r="W122" s="632">
        <f>CCBASE!$I$42*B122/1000</f>
        <v>124.0410325</v>
      </c>
      <c r="X122" s="632"/>
      <c r="Y122" s="632"/>
      <c r="Z122" s="632"/>
      <c r="AA122" s="632"/>
      <c r="AB122" s="632"/>
      <c r="AC122" s="632"/>
      <c r="AD122" s="632">
        <f>CCBASE!$I$38*2</f>
        <v>272.06745999999998</v>
      </c>
    </row>
    <row r="123" spans="1:30" x14ac:dyDescent="0.2">
      <c r="A123" s="630" t="s">
        <v>173</v>
      </c>
      <c r="B123" s="630">
        <v>2000</v>
      </c>
      <c r="C123" s="630">
        <v>1750</v>
      </c>
      <c r="D123" s="630" t="str">
        <f t="shared" si="47"/>
        <v>UVF20001750</v>
      </c>
      <c r="E123" s="1046">
        <f t="shared" si="30"/>
        <v>2556.6094208999993</v>
      </c>
      <c r="F123" s="631">
        <v>29.5</v>
      </c>
      <c r="G123" s="632">
        <f>F123*CCBASE!$B$51</f>
        <v>1062</v>
      </c>
      <c r="H123" s="632">
        <f>CCBASE!$I$11*B123/1000</f>
        <v>321.98592439999999</v>
      </c>
      <c r="I123" s="632"/>
      <c r="J123" s="632"/>
      <c r="K123" s="632"/>
      <c r="L123" s="632">
        <f>CCBASE!$I$13*B123/1000</f>
        <v>479.07531</v>
      </c>
      <c r="M123" s="632"/>
      <c r="N123" s="632">
        <f>CCBASE!$I$7*B123/1000</f>
        <v>63.084560000000003</v>
      </c>
      <c r="O123" s="632">
        <f>CCBASE!$I$45*B123/1000</f>
        <v>19.940000000000001</v>
      </c>
      <c r="P123" s="632">
        <f>CCBASE!$I$9</f>
        <v>39.7111223</v>
      </c>
      <c r="Q123" s="632">
        <f>CCBASE!$H$51</f>
        <v>5.16</v>
      </c>
      <c r="R123" s="632">
        <f>CCBASE!$I$4</f>
        <v>8.3986041999999994</v>
      </c>
      <c r="S123" s="632">
        <f>CCBASE!$I$8</f>
        <v>16.25526</v>
      </c>
      <c r="T123" s="632">
        <f>CCBASE!$I$44</f>
        <v>94.69</v>
      </c>
      <c r="U123" s="632">
        <f>CCBASE!$I$47*2</f>
        <v>28.82</v>
      </c>
      <c r="V123" s="632">
        <f>CCBASE!$I$46*1.5</f>
        <v>3.66</v>
      </c>
      <c r="W123" s="632">
        <f>CCBASE!$I$42*B123/1000</f>
        <v>141.76118</v>
      </c>
      <c r="X123" s="632"/>
      <c r="Y123" s="632"/>
      <c r="Z123" s="632"/>
      <c r="AA123" s="632"/>
      <c r="AB123" s="632"/>
      <c r="AC123" s="632"/>
      <c r="AD123" s="632">
        <f>CCBASE!$I$38*2</f>
        <v>272.06745999999998</v>
      </c>
    </row>
    <row r="124" spans="1:30" x14ac:dyDescent="0.2">
      <c r="A124" s="630" t="s">
        <v>173</v>
      </c>
      <c r="B124" s="630">
        <v>2250</v>
      </c>
      <c r="C124" s="630">
        <v>1750</v>
      </c>
      <c r="D124" s="630" t="str">
        <f t="shared" ref="D124" si="58">A124&amp;B124&amp;C124</f>
        <v>UVF22501750</v>
      </c>
      <c r="E124" s="1046">
        <f t="shared" si="30"/>
        <v>2720.8402926999997</v>
      </c>
      <c r="F124" s="631">
        <v>30.5</v>
      </c>
      <c r="G124" s="632">
        <f>F124*CCBASE!$B$51</f>
        <v>1098</v>
      </c>
      <c r="H124" s="632">
        <f>CCBASE!$I$11*B124/1000</f>
        <v>362.23416494999998</v>
      </c>
      <c r="I124" s="632"/>
      <c r="J124" s="632"/>
      <c r="K124" s="632"/>
      <c r="L124" s="632">
        <f>CCBASE!$I$13*B124/1000</f>
        <v>538.95972374999997</v>
      </c>
      <c r="M124" s="632"/>
      <c r="N124" s="632">
        <f>CCBASE!$I$7*B124/1000</f>
        <v>70.970130000000012</v>
      </c>
      <c r="O124" s="632">
        <f>CCBASE!$I$45*B124/1000</f>
        <v>22.432500000000001</v>
      </c>
      <c r="P124" s="632">
        <f>CCBASE!$I$9</f>
        <v>39.7111223</v>
      </c>
      <c r="Q124" s="632">
        <f>CCBASE!$H$51</f>
        <v>5.16</v>
      </c>
      <c r="R124" s="632">
        <f>CCBASE!$I$4</f>
        <v>8.3986041999999994</v>
      </c>
      <c r="S124" s="632">
        <f>CCBASE!$I$8</f>
        <v>16.25526</v>
      </c>
      <c r="T124" s="632">
        <f>CCBASE!$I$44</f>
        <v>94.69</v>
      </c>
      <c r="U124" s="632">
        <f>CCBASE!$I$47*2</f>
        <v>28.82</v>
      </c>
      <c r="V124" s="632">
        <f>CCBASE!$I$46*1.5</f>
        <v>3.66</v>
      </c>
      <c r="W124" s="632">
        <f>CCBASE!$I$42*B124/1000</f>
        <v>159.48132749999999</v>
      </c>
      <c r="X124" s="632"/>
      <c r="Y124" s="632"/>
      <c r="Z124" s="632"/>
      <c r="AA124" s="632"/>
      <c r="AB124" s="632"/>
      <c r="AC124" s="632"/>
      <c r="AD124" s="632">
        <f>CCBASE!$I$38*2</f>
        <v>272.06745999999998</v>
      </c>
    </row>
    <row r="125" spans="1:30" x14ac:dyDescent="0.2">
      <c r="A125" s="630" t="s">
        <v>173</v>
      </c>
      <c r="B125" s="630">
        <v>2500</v>
      </c>
      <c r="C125" s="630">
        <v>1750</v>
      </c>
      <c r="D125" s="630" t="str">
        <f t="shared" si="47"/>
        <v>UVF25001750</v>
      </c>
      <c r="E125" s="1046">
        <f t="shared" si="30"/>
        <v>2849.0711645000001</v>
      </c>
      <c r="F125" s="631">
        <v>30.5</v>
      </c>
      <c r="G125" s="632">
        <f>F125*CCBASE!$B$51</f>
        <v>1098</v>
      </c>
      <c r="H125" s="632">
        <f>CCBASE!$I$11*B125/1000</f>
        <v>402.48240549999997</v>
      </c>
      <c r="I125" s="632"/>
      <c r="J125" s="632"/>
      <c r="K125" s="632"/>
      <c r="L125" s="632">
        <f>CCBASE!$I$13*B125/1000</f>
        <v>598.84413749999999</v>
      </c>
      <c r="M125" s="632"/>
      <c r="N125" s="632">
        <f>CCBASE!$I$7*B125/1000</f>
        <v>78.855699999999999</v>
      </c>
      <c r="O125" s="632">
        <f>CCBASE!$I$45*B125/1000</f>
        <v>24.925000000000001</v>
      </c>
      <c r="P125" s="632">
        <f>CCBASE!$I$9</f>
        <v>39.7111223</v>
      </c>
      <c r="Q125" s="632">
        <f>CCBASE!$H$51</f>
        <v>5.16</v>
      </c>
      <c r="R125" s="632">
        <f>CCBASE!$I$4</f>
        <v>8.3986041999999994</v>
      </c>
      <c r="S125" s="632">
        <f>CCBASE!$I$8</f>
        <v>16.25526</v>
      </c>
      <c r="T125" s="632">
        <f>CCBASE!$I$44</f>
        <v>94.69</v>
      </c>
      <c r="U125" s="632">
        <f>CCBASE!$I$47*2</f>
        <v>28.82</v>
      </c>
      <c r="V125" s="632">
        <f>CCBASE!$I$46*1.5</f>
        <v>3.66</v>
      </c>
      <c r="W125" s="632">
        <f>CCBASE!$I$42*B125/1000</f>
        <v>177.20147500000002</v>
      </c>
      <c r="X125" s="632"/>
      <c r="Y125" s="632"/>
      <c r="Z125" s="632"/>
      <c r="AA125" s="632"/>
      <c r="AB125" s="632"/>
      <c r="AC125" s="632"/>
      <c r="AD125" s="632">
        <f>CCBASE!$I$38*2</f>
        <v>272.06745999999998</v>
      </c>
    </row>
    <row r="126" spans="1:30" x14ac:dyDescent="0.2">
      <c r="A126" s="630" t="s">
        <v>173</v>
      </c>
      <c r="B126" s="630">
        <v>2750</v>
      </c>
      <c r="C126" s="630">
        <v>1750</v>
      </c>
      <c r="D126" s="630" t="str">
        <f t="shared" ref="D126" si="59">A126&amp;B126&amp;C126</f>
        <v>UVF27501750</v>
      </c>
      <c r="E126" s="1046">
        <f t="shared" si="30"/>
        <v>2977.3020362999996</v>
      </c>
      <c r="F126" s="631">
        <v>30.5</v>
      </c>
      <c r="G126" s="632">
        <f>F126*CCBASE!$B$51</f>
        <v>1098</v>
      </c>
      <c r="H126" s="632">
        <f>CCBASE!$I$11*B126/1000</f>
        <v>442.73064604999996</v>
      </c>
      <c r="I126" s="632"/>
      <c r="J126" s="632"/>
      <c r="K126" s="632"/>
      <c r="L126" s="632">
        <f>CCBASE!$I$13*B126/1000</f>
        <v>658.72855125000001</v>
      </c>
      <c r="M126" s="632"/>
      <c r="N126" s="632">
        <f>CCBASE!$I$7*B126/1000</f>
        <v>86.74127</v>
      </c>
      <c r="O126" s="632">
        <f>CCBASE!$I$45*B126/1000</f>
        <v>27.4175</v>
      </c>
      <c r="P126" s="632">
        <f>CCBASE!$I$9</f>
        <v>39.7111223</v>
      </c>
      <c r="Q126" s="632">
        <f>CCBASE!$H$51</f>
        <v>5.16</v>
      </c>
      <c r="R126" s="632">
        <f>CCBASE!$I$4</f>
        <v>8.3986041999999994</v>
      </c>
      <c r="S126" s="632">
        <f>CCBASE!$I$8</f>
        <v>16.25526</v>
      </c>
      <c r="T126" s="632">
        <f>CCBASE!$I$44</f>
        <v>94.69</v>
      </c>
      <c r="U126" s="632">
        <f>CCBASE!$I$47*2</f>
        <v>28.82</v>
      </c>
      <c r="V126" s="632">
        <f>CCBASE!$I$46*1.5</f>
        <v>3.66</v>
      </c>
      <c r="W126" s="632">
        <f>CCBASE!$I$42*B126/1000</f>
        <v>194.92162249999998</v>
      </c>
      <c r="X126" s="632"/>
      <c r="Y126" s="632"/>
      <c r="Z126" s="632"/>
      <c r="AA126" s="632"/>
      <c r="AB126" s="632"/>
      <c r="AC126" s="632"/>
      <c r="AD126" s="632">
        <f>CCBASE!$I$38*2</f>
        <v>272.06745999999998</v>
      </c>
    </row>
    <row r="127" spans="1:30" x14ac:dyDescent="0.2">
      <c r="A127" s="630" t="s">
        <v>173</v>
      </c>
      <c r="B127" s="630">
        <v>3000</v>
      </c>
      <c r="C127" s="630">
        <v>1750</v>
      </c>
      <c r="D127" s="630" t="str">
        <f t="shared" si="47"/>
        <v>UVF30001750</v>
      </c>
      <c r="E127" s="1046">
        <f t="shared" si="30"/>
        <v>3105.5329081</v>
      </c>
      <c r="F127" s="631">
        <v>30.5</v>
      </c>
      <c r="G127" s="632">
        <f>F127*CCBASE!$B$51</f>
        <v>1098</v>
      </c>
      <c r="H127" s="632">
        <f>CCBASE!$I$11*B127/1000</f>
        <v>482.97888659999995</v>
      </c>
      <c r="I127" s="632"/>
      <c r="J127" s="632"/>
      <c r="K127" s="632"/>
      <c r="L127" s="632">
        <f>CCBASE!$I$13*B127/1000</f>
        <v>718.61296499999992</v>
      </c>
      <c r="M127" s="632"/>
      <c r="N127" s="632">
        <f>CCBASE!$I$7*B127/1000</f>
        <v>94.626840000000016</v>
      </c>
      <c r="O127" s="632">
        <f>CCBASE!$I$45*B127/1000</f>
        <v>29.910000000000004</v>
      </c>
      <c r="P127" s="632">
        <f>CCBASE!$I$9</f>
        <v>39.7111223</v>
      </c>
      <c r="Q127" s="632">
        <f>CCBASE!$H$51</f>
        <v>5.16</v>
      </c>
      <c r="R127" s="632">
        <f>CCBASE!$I$4</f>
        <v>8.3986041999999994</v>
      </c>
      <c r="S127" s="632">
        <f>CCBASE!$I$8</f>
        <v>16.25526</v>
      </c>
      <c r="T127" s="632">
        <f>CCBASE!$I$44</f>
        <v>94.69</v>
      </c>
      <c r="U127" s="632">
        <f>CCBASE!$I$47*2</f>
        <v>28.82</v>
      </c>
      <c r="V127" s="632">
        <f>CCBASE!$I$46*1.5</f>
        <v>3.66</v>
      </c>
      <c r="W127" s="632">
        <f>CCBASE!$I$42*B127/1000</f>
        <v>212.64176999999998</v>
      </c>
      <c r="X127" s="632"/>
      <c r="Y127" s="632"/>
      <c r="Z127" s="632"/>
      <c r="AA127" s="632"/>
      <c r="AB127" s="632"/>
      <c r="AC127" s="632"/>
      <c r="AD127" s="632">
        <f>CCBASE!$I$38*2</f>
        <v>272.06745999999998</v>
      </c>
    </row>
    <row r="128" spans="1:30" x14ac:dyDescent="0.2">
      <c r="A128" s="630" t="s">
        <v>173</v>
      </c>
      <c r="B128" s="630">
        <v>1000</v>
      </c>
      <c r="C128" s="630">
        <v>2000</v>
      </c>
      <c r="D128" s="630" t="str">
        <f t="shared" ref="D128:D136" si="60">A128&amp;B128&amp;C128</f>
        <v>UVF10002000</v>
      </c>
      <c r="E128" s="1046">
        <f t="shared" si="30"/>
        <v>2075.7860294000002</v>
      </c>
      <c r="F128" s="631">
        <v>29.5</v>
      </c>
      <c r="G128" s="632">
        <f>F128*CCBASE!$B$51</f>
        <v>1062</v>
      </c>
      <c r="H128" s="632">
        <f>CCBASE!$I$11*B128/1000</f>
        <v>160.99296219999999</v>
      </c>
      <c r="I128" s="632"/>
      <c r="J128" s="632"/>
      <c r="K128" s="632"/>
      <c r="L128" s="632">
        <f>CCBASE!$I$13*B128/1000</f>
        <v>239.537655</v>
      </c>
      <c r="M128" s="632"/>
      <c r="N128" s="632">
        <f>CCBASE!$I$7*B128/1000</f>
        <v>31.542280000000002</v>
      </c>
      <c r="O128" s="632">
        <f>CCBASE!$I$45*B128/1000</f>
        <v>9.9700000000000006</v>
      </c>
      <c r="P128" s="632">
        <f>CCBASE!$I$10</f>
        <v>30.661922000000001</v>
      </c>
      <c r="Q128" s="632">
        <f>CCBASE!$H$51</f>
        <v>5.16</v>
      </c>
      <c r="R128" s="632">
        <f>CCBASE!$I$4</f>
        <v>8.3986041999999994</v>
      </c>
      <c r="S128" s="632">
        <f>CCBASE!$I$8</f>
        <v>16.25526</v>
      </c>
      <c r="T128" s="632">
        <f>CCBASE!$I$44</f>
        <v>94.69</v>
      </c>
      <c r="U128" s="632">
        <f>CCBASE!$I$47</f>
        <v>14.41</v>
      </c>
      <c r="V128" s="632">
        <f>CCBASE!$I$46</f>
        <v>2.44</v>
      </c>
      <c r="W128" s="632">
        <f>CCBASE!$I$43*B128/1000</f>
        <v>88.624119999999991</v>
      </c>
      <c r="X128" s="632"/>
      <c r="Y128" s="632"/>
      <c r="Z128" s="632"/>
      <c r="AA128" s="632"/>
      <c r="AB128" s="632"/>
      <c r="AC128" s="632"/>
      <c r="AD128" s="632">
        <f>CCBASE!$I$39*2</f>
        <v>311.10322599999995</v>
      </c>
    </row>
    <row r="129" spans="1:45" x14ac:dyDescent="0.2">
      <c r="A129" s="630" t="s">
        <v>173</v>
      </c>
      <c r="B129" s="630">
        <v>1250</v>
      </c>
      <c r="C129" s="630">
        <v>2000</v>
      </c>
      <c r="D129" s="630" t="str">
        <f t="shared" ref="D129" si="61">A129&amp;B129&amp;C129</f>
        <v>UVF12502000</v>
      </c>
      <c r="E129" s="1046">
        <f t="shared" si="30"/>
        <v>2222.8627837000004</v>
      </c>
      <c r="F129" s="631">
        <v>29.5</v>
      </c>
      <c r="G129" s="632">
        <f>F129*CCBASE!$B$51</f>
        <v>1062</v>
      </c>
      <c r="H129" s="632">
        <f>CCBASE!$I$11*B129/1000</f>
        <v>201.24120274999999</v>
      </c>
      <c r="I129" s="632"/>
      <c r="J129" s="632"/>
      <c r="K129" s="632"/>
      <c r="L129" s="632">
        <f>CCBASE!$I$13*B129/1000</f>
        <v>299.42206874999999</v>
      </c>
      <c r="M129" s="632"/>
      <c r="N129" s="632">
        <f>CCBASE!$I$7*B129/1000</f>
        <v>39.427849999999999</v>
      </c>
      <c r="O129" s="632">
        <f>CCBASE!$I$45*B129/1000</f>
        <v>12.4625</v>
      </c>
      <c r="P129" s="632">
        <f>CCBASE!$I$10</f>
        <v>30.661922000000001</v>
      </c>
      <c r="Q129" s="632">
        <f>CCBASE!$H$51</f>
        <v>5.16</v>
      </c>
      <c r="R129" s="632">
        <f>CCBASE!$I$4</f>
        <v>8.3986041999999994</v>
      </c>
      <c r="S129" s="632">
        <f>CCBASE!$I$8</f>
        <v>16.25526</v>
      </c>
      <c r="T129" s="632">
        <f>CCBASE!$I$44</f>
        <v>94.69</v>
      </c>
      <c r="U129" s="632">
        <f>CCBASE!$I$47*2</f>
        <v>28.82</v>
      </c>
      <c r="V129" s="632">
        <f>CCBASE!$I$46</f>
        <v>2.44</v>
      </c>
      <c r="W129" s="632">
        <f>CCBASE!$I$43*B129/1000</f>
        <v>110.78014999999999</v>
      </c>
      <c r="X129" s="632"/>
      <c r="Y129" s="632"/>
      <c r="Z129" s="632"/>
      <c r="AA129" s="632"/>
      <c r="AB129" s="632"/>
      <c r="AC129" s="632"/>
      <c r="AD129" s="632">
        <f>CCBASE!$I$39*2</f>
        <v>311.10322599999995</v>
      </c>
    </row>
    <row r="130" spans="1:45" x14ac:dyDescent="0.2">
      <c r="A130" s="630" t="s">
        <v>173</v>
      </c>
      <c r="B130" s="630">
        <v>1500</v>
      </c>
      <c r="C130" s="630">
        <v>2000</v>
      </c>
      <c r="D130" s="630" t="str">
        <f t="shared" si="60"/>
        <v>UVF15002000</v>
      </c>
      <c r="E130" s="1046">
        <f t="shared" si="30"/>
        <v>2355.5295379999998</v>
      </c>
      <c r="F130" s="631">
        <v>29.5</v>
      </c>
      <c r="G130" s="632">
        <f>F130*CCBASE!$B$51</f>
        <v>1062</v>
      </c>
      <c r="H130" s="632">
        <f>CCBASE!$I$11*B130/1000</f>
        <v>241.48944329999998</v>
      </c>
      <c r="I130" s="632"/>
      <c r="J130" s="632"/>
      <c r="K130" s="632"/>
      <c r="L130" s="632">
        <f>CCBASE!$I$13*B130/1000</f>
        <v>359.30648249999996</v>
      </c>
      <c r="M130" s="632"/>
      <c r="N130" s="632">
        <f>CCBASE!$I$7*B130/1000</f>
        <v>47.313420000000008</v>
      </c>
      <c r="O130" s="632">
        <f>CCBASE!$I$45*B130/1000</f>
        <v>14.955000000000002</v>
      </c>
      <c r="P130" s="632">
        <f>CCBASE!$I$10</f>
        <v>30.661922000000001</v>
      </c>
      <c r="Q130" s="632">
        <f>CCBASE!$H$51</f>
        <v>5.16</v>
      </c>
      <c r="R130" s="632">
        <f>CCBASE!$I$4</f>
        <v>8.3986041999999994</v>
      </c>
      <c r="S130" s="632">
        <f>CCBASE!$I$8</f>
        <v>16.25526</v>
      </c>
      <c r="T130" s="632">
        <f>CCBASE!$I$44</f>
        <v>94.69</v>
      </c>
      <c r="U130" s="632">
        <f>CCBASE!$I$47*2</f>
        <v>28.82</v>
      </c>
      <c r="V130" s="632">
        <f>CCBASE!$I$46</f>
        <v>2.44</v>
      </c>
      <c r="W130" s="632">
        <f>CCBASE!$I$43*B130/1000</f>
        <v>132.93617999999998</v>
      </c>
      <c r="X130" s="632"/>
      <c r="Y130" s="632"/>
      <c r="Z130" s="632"/>
      <c r="AA130" s="632"/>
      <c r="AB130" s="632"/>
      <c r="AC130" s="632"/>
      <c r="AD130" s="632">
        <f>CCBASE!$I$39*2</f>
        <v>311.10322599999995</v>
      </c>
    </row>
    <row r="131" spans="1:45" x14ac:dyDescent="0.2">
      <c r="A131" s="630" t="s">
        <v>173</v>
      </c>
      <c r="B131" s="630">
        <v>1750</v>
      </c>
      <c r="C131" s="630">
        <v>2000</v>
      </c>
      <c r="D131" s="630" t="str">
        <f t="shared" ref="D131" si="62">A131&amp;B131&amp;C131</f>
        <v>UVF17502000</v>
      </c>
      <c r="E131" s="1046">
        <f t="shared" ref="E131:E194" si="63">SUM(G131:AD131)</f>
        <v>2498.4654925999994</v>
      </c>
      <c r="F131" s="631">
        <v>29.5</v>
      </c>
      <c r="G131" s="632">
        <f>F131*CCBASE!$B$51</f>
        <v>1062</v>
      </c>
      <c r="H131" s="632">
        <f>CCBASE!$I$11*B131/1000</f>
        <v>281.73768385</v>
      </c>
      <c r="I131" s="632"/>
      <c r="J131" s="632"/>
      <c r="K131" s="632"/>
      <c r="L131" s="632">
        <f>CCBASE!$I$13*B131/1000</f>
        <v>419.19089624999998</v>
      </c>
      <c r="M131" s="632"/>
      <c r="N131" s="632">
        <f>CCBASE!$I$7*B131/1000</f>
        <v>55.198990000000002</v>
      </c>
      <c r="O131" s="632">
        <f>CCBASE!$I$45*B131/1000</f>
        <v>17.447500000000002</v>
      </c>
      <c r="P131" s="632">
        <f>CCBASE!$I$9</f>
        <v>39.7111223</v>
      </c>
      <c r="Q131" s="632">
        <f>CCBASE!$H$51</f>
        <v>5.16</v>
      </c>
      <c r="R131" s="632">
        <f>CCBASE!$I$4</f>
        <v>8.3986041999999994</v>
      </c>
      <c r="S131" s="632">
        <f>CCBASE!$I$8</f>
        <v>16.25526</v>
      </c>
      <c r="T131" s="632">
        <f>CCBASE!$I$44</f>
        <v>94.69</v>
      </c>
      <c r="U131" s="632">
        <f>CCBASE!$I$47*2</f>
        <v>28.82</v>
      </c>
      <c r="V131" s="632">
        <f>CCBASE!$I$46*1.5</f>
        <v>3.66</v>
      </c>
      <c r="W131" s="632">
        <f>CCBASE!$I$43*B131/1000</f>
        <v>155.09220999999999</v>
      </c>
      <c r="X131" s="632"/>
      <c r="Y131" s="632"/>
      <c r="Z131" s="632"/>
      <c r="AA131" s="632"/>
      <c r="AB131" s="632"/>
      <c r="AC131" s="632"/>
      <c r="AD131" s="632">
        <f>CCBASE!$I$39*2</f>
        <v>311.10322599999995</v>
      </c>
    </row>
    <row r="132" spans="1:45" x14ac:dyDescent="0.2">
      <c r="A132" s="630" t="s">
        <v>173</v>
      </c>
      <c r="B132" s="630">
        <v>2000</v>
      </c>
      <c r="C132" s="630">
        <v>2000</v>
      </c>
      <c r="D132" s="630" t="str">
        <f t="shared" si="60"/>
        <v>UVF20002000</v>
      </c>
      <c r="E132" s="1046">
        <f t="shared" si="63"/>
        <v>2631.1322468999997</v>
      </c>
      <c r="F132" s="631">
        <v>29.5</v>
      </c>
      <c r="G132" s="632">
        <f>F132*CCBASE!$B$51</f>
        <v>1062</v>
      </c>
      <c r="H132" s="632">
        <f>CCBASE!$I$11*B132/1000</f>
        <v>321.98592439999999</v>
      </c>
      <c r="I132" s="632"/>
      <c r="J132" s="632"/>
      <c r="K132" s="632"/>
      <c r="L132" s="632">
        <f>CCBASE!$I$13*B132/1000</f>
        <v>479.07531</v>
      </c>
      <c r="M132" s="632"/>
      <c r="N132" s="632">
        <f>CCBASE!$I$7*B132/1000</f>
        <v>63.084560000000003</v>
      </c>
      <c r="O132" s="632">
        <f>CCBASE!$I$45*B132/1000</f>
        <v>19.940000000000001</v>
      </c>
      <c r="P132" s="632">
        <f>CCBASE!$I$9</f>
        <v>39.7111223</v>
      </c>
      <c r="Q132" s="632">
        <f>CCBASE!$H$51</f>
        <v>5.16</v>
      </c>
      <c r="R132" s="632">
        <f>CCBASE!$I$4</f>
        <v>8.3986041999999994</v>
      </c>
      <c r="S132" s="632">
        <f>CCBASE!$I$8</f>
        <v>16.25526</v>
      </c>
      <c r="T132" s="632">
        <f>CCBASE!$I$44</f>
        <v>94.69</v>
      </c>
      <c r="U132" s="632">
        <f>CCBASE!$I$47*2</f>
        <v>28.82</v>
      </c>
      <c r="V132" s="632">
        <f>CCBASE!$I$46*1.5</f>
        <v>3.66</v>
      </c>
      <c r="W132" s="632">
        <f>CCBASE!$I$43*B132/1000</f>
        <v>177.24823999999998</v>
      </c>
      <c r="X132" s="632"/>
      <c r="Y132" s="632"/>
      <c r="Z132" s="632"/>
      <c r="AA132" s="632"/>
      <c r="AB132" s="632"/>
      <c r="AC132" s="632"/>
      <c r="AD132" s="632">
        <f>CCBASE!$I$39*2</f>
        <v>311.10322599999995</v>
      </c>
    </row>
    <row r="133" spans="1:45" x14ac:dyDescent="0.2">
      <c r="A133" s="630" t="s">
        <v>173</v>
      </c>
      <c r="B133" s="630">
        <v>2250</v>
      </c>
      <c r="C133" s="630">
        <v>2000</v>
      </c>
      <c r="D133" s="630" t="str">
        <f t="shared" ref="D133" si="64">A133&amp;B133&amp;C133</f>
        <v>UVF22502000</v>
      </c>
      <c r="E133" s="1046">
        <f t="shared" si="63"/>
        <v>2799.7990012</v>
      </c>
      <c r="F133" s="631">
        <v>30.5</v>
      </c>
      <c r="G133" s="632">
        <f>F133*CCBASE!$B$51</f>
        <v>1098</v>
      </c>
      <c r="H133" s="632">
        <f>CCBASE!$I$11*B133/1000</f>
        <v>362.23416494999998</v>
      </c>
      <c r="I133" s="632"/>
      <c r="J133" s="632"/>
      <c r="K133" s="632"/>
      <c r="L133" s="632">
        <f>CCBASE!$I$13*B133/1000</f>
        <v>538.95972374999997</v>
      </c>
      <c r="M133" s="632"/>
      <c r="N133" s="632">
        <f>CCBASE!$I$7*B133/1000</f>
        <v>70.970130000000012</v>
      </c>
      <c r="O133" s="632">
        <f>CCBASE!$I$45*B133/1000</f>
        <v>22.432500000000001</v>
      </c>
      <c r="P133" s="632">
        <f>CCBASE!$I$9</f>
        <v>39.7111223</v>
      </c>
      <c r="Q133" s="632">
        <f>CCBASE!$H$51</f>
        <v>5.16</v>
      </c>
      <c r="R133" s="632">
        <f>CCBASE!$I$4</f>
        <v>8.3986041999999994</v>
      </c>
      <c r="S133" s="632">
        <f>CCBASE!$I$8</f>
        <v>16.25526</v>
      </c>
      <c r="T133" s="632">
        <f>CCBASE!$I$44</f>
        <v>94.69</v>
      </c>
      <c r="U133" s="632">
        <f>CCBASE!$I$47*2</f>
        <v>28.82</v>
      </c>
      <c r="V133" s="632">
        <f>CCBASE!$I$46*1.5</f>
        <v>3.66</v>
      </c>
      <c r="W133" s="632">
        <f>CCBASE!$I$43*B133/1000</f>
        <v>199.40427</v>
      </c>
      <c r="X133" s="632"/>
      <c r="Y133" s="632"/>
      <c r="Z133" s="632"/>
      <c r="AA133" s="632"/>
      <c r="AB133" s="632"/>
      <c r="AC133" s="632"/>
      <c r="AD133" s="632">
        <f>CCBASE!$I$39*2</f>
        <v>311.10322599999995</v>
      </c>
    </row>
    <row r="134" spans="1:45" x14ac:dyDescent="0.2">
      <c r="A134" s="630" t="s">
        <v>173</v>
      </c>
      <c r="B134" s="630">
        <v>2500</v>
      </c>
      <c r="C134" s="630">
        <v>2000</v>
      </c>
      <c r="D134" s="630" t="str">
        <f t="shared" si="60"/>
        <v>UVF25002000</v>
      </c>
      <c r="E134" s="1046">
        <f t="shared" si="63"/>
        <v>2932.4657555000003</v>
      </c>
      <c r="F134" s="631">
        <v>30.5</v>
      </c>
      <c r="G134" s="632">
        <f>F134*CCBASE!$B$51</f>
        <v>1098</v>
      </c>
      <c r="H134" s="632">
        <f>CCBASE!$I$11*B134/1000</f>
        <v>402.48240549999997</v>
      </c>
      <c r="I134" s="632"/>
      <c r="J134" s="632"/>
      <c r="K134" s="632"/>
      <c r="L134" s="632">
        <f>CCBASE!$I$13*B134/1000</f>
        <v>598.84413749999999</v>
      </c>
      <c r="M134" s="632"/>
      <c r="N134" s="632">
        <f>CCBASE!$I$7*B134/1000</f>
        <v>78.855699999999999</v>
      </c>
      <c r="O134" s="632">
        <f>CCBASE!$I$45*B134/1000</f>
        <v>24.925000000000001</v>
      </c>
      <c r="P134" s="632">
        <f>CCBASE!$I$9</f>
        <v>39.7111223</v>
      </c>
      <c r="Q134" s="632">
        <f>CCBASE!$H$51</f>
        <v>5.16</v>
      </c>
      <c r="R134" s="632">
        <f>CCBASE!$I$4</f>
        <v>8.3986041999999994</v>
      </c>
      <c r="S134" s="632">
        <f>CCBASE!$I$8</f>
        <v>16.25526</v>
      </c>
      <c r="T134" s="632">
        <f>CCBASE!$I$44</f>
        <v>94.69</v>
      </c>
      <c r="U134" s="632">
        <f>CCBASE!$I$47*2</f>
        <v>28.82</v>
      </c>
      <c r="V134" s="632">
        <f>CCBASE!$I$46*1.5</f>
        <v>3.66</v>
      </c>
      <c r="W134" s="632">
        <f>CCBASE!$I$43*B134/1000</f>
        <v>221.56029999999998</v>
      </c>
      <c r="X134" s="632"/>
      <c r="Y134" s="632"/>
      <c r="Z134" s="632"/>
      <c r="AA134" s="632"/>
      <c r="AB134" s="632"/>
      <c r="AC134" s="632"/>
      <c r="AD134" s="632">
        <f>CCBASE!$I$39*2</f>
        <v>311.10322599999995</v>
      </c>
    </row>
    <row r="135" spans="1:45" x14ac:dyDescent="0.2">
      <c r="A135" s="630" t="s">
        <v>173</v>
      </c>
      <c r="B135" s="630">
        <v>2750</v>
      </c>
      <c r="C135" s="630">
        <v>2000</v>
      </c>
      <c r="D135" s="630" t="str">
        <f t="shared" ref="D135" si="65">A135&amp;B135&amp;C135</f>
        <v>UVF27502000</v>
      </c>
      <c r="E135" s="1046">
        <f t="shared" si="63"/>
        <v>3065.1325097999998</v>
      </c>
      <c r="F135" s="631">
        <v>30.5</v>
      </c>
      <c r="G135" s="632">
        <f>F135*CCBASE!$B$51</f>
        <v>1098</v>
      </c>
      <c r="H135" s="632">
        <f>CCBASE!$I$11*B135/1000</f>
        <v>442.73064604999996</v>
      </c>
      <c r="I135" s="632"/>
      <c r="J135" s="632"/>
      <c r="K135" s="632"/>
      <c r="L135" s="632">
        <f>CCBASE!$I$13*B135/1000</f>
        <v>658.72855125000001</v>
      </c>
      <c r="M135" s="632"/>
      <c r="N135" s="632">
        <f>CCBASE!$I$7*B135/1000</f>
        <v>86.74127</v>
      </c>
      <c r="O135" s="632">
        <f>CCBASE!$I$45*B135/1000</f>
        <v>27.4175</v>
      </c>
      <c r="P135" s="632">
        <f>CCBASE!$I$9</f>
        <v>39.7111223</v>
      </c>
      <c r="Q135" s="632">
        <f>CCBASE!$H$51</f>
        <v>5.16</v>
      </c>
      <c r="R135" s="632">
        <f>CCBASE!$I$4</f>
        <v>8.3986041999999994</v>
      </c>
      <c r="S135" s="632">
        <f>CCBASE!$I$8</f>
        <v>16.25526</v>
      </c>
      <c r="T135" s="632">
        <f>CCBASE!$I$44</f>
        <v>94.69</v>
      </c>
      <c r="U135" s="632">
        <f>CCBASE!$I$47*2</f>
        <v>28.82</v>
      </c>
      <c r="V135" s="632">
        <f>CCBASE!$I$46*1.5</f>
        <v>3.66</v>
      </c>
      <c r="W135" s="632">
        <f>CCBASE!$I$43*B135/1000</f>
        <v>243.71633</v>
      </c>
      <c r="X135" s="632"/>
      <c r="Y135" s="632"/>
      <c r="Z135" s="632"/>
      <c r="AA135" s="632"/>
      <c r="AB135" s="632"/>
      <c r="AC135" s="632"/>
      <c r="AD135" s="632">
        <f>CCBASE!$I$39*2</f>
        <v>311.10322599999995</v>
      </c>
    </row>
    <row r="136" spans="1:45" x14ac:dyDescent="0.2">
      <c r="A136" s="630" t="s">
        <v>173</v>
      </c>
      <c r="B136" s="630">
        <v>3000</v>
      </c>
      <c r="C136" s="630">
        <v>2000</v>
      </c>
      <c r="D136" s="630" t="str">
        <f t="shared" si="60"/>
        <v>UVF30002000</v>
      </c>
      <c r="E136" s="1046">
        <f t="shared" si="63"/>
        <v>3197.7992640999992</v>
      </c>
      <c r="F136" s="631">
        <v>30.5</v>
      </c>
      <c r="G136" s="632">
        <f>F136*CCBASE!$B$51</f>
        <v>1098</v>
      </c>
      <c r="H136" s="632">
        <f>CCBASE!$I$11*B136/1000</f>
        <v>482.97888659999995</v>
      </c>
      <c r="I136" s="632"/>
      <c r="J136" s="632"/>
      <c r="K136" s="632"/>
      <c r="L136" s="632">
        <f>CCBASE!$I$13*B136/1000</f>
        <v>718.61296499999992</v>
      </c>
      <c r="M136" s="632"/>
      <c r="N136" s="632">
        <f>CCBASE!$I$7*B136/1000</f>
        <v>94.626840000000016</v>
      </c>
      <c r="O136" s="632">
        <f>CCBASE!$I$45*B136/1000</f>
        <v>29.910000000000004</v>
      </c>
      <c r="P136" s="632">
        <f>CCBASE!$I$9</f>
        <v>39.7111223</v>
      </c>
      <c r="Q136" s="632">
        <f>CCBASE!$H$51</f>
        <v>5.16</v>
      </c>
      <c r="R136" s="632">
        <f>CCBASE!$I$4</f>
        <v>8.3986041999999994</v>
      </c>
      <c r="S136" s="632">
        <f>CCBASE!$I$8</f>
        <v>16.25526</v>
      </c>
      <c r="T136" s="632">
        <f>CCBASE!$I$44</f>
        <v>94.69</v>
      </c>
      <c r="U136" s="632">
        <f>CCBASE!$I$47*2</f>
        <v>28.82</v>
      </c>
      <c r="V136" s="632">
        <f>CCBASE!$I$46*1.5</f>
        <v>3.66</v>
      </c>
      <c r="W136" s="632">
        <f>CCBASE!$I$43*B136/1000</f>
        <v>265.87235999999996</v>
      </c>
      <c r="X136" s="632"/>
      <c r="Y136" s="632"/>
      <c r="Z136" s="632"/>
      <c r="AA136" s="632"/>
      <c r="AB136" s="632"/>
      <c r="AC136" s="632"/>
      <c r="AD136" s="632">
        <f>CCBASE!$I$39*2</f>
        <v>311.10322599999995</v>
      </c>
    </row>
    <row r="137" spans="1:45" x14ac:dyDescent="0.2">
      <c r="A137" s="630" t="s">
        <v>186</v>
      </c>
      <c r="B137" s="630">
        <v>1000</v>
      </c>
      <c r="C137" s="630">
        <v>1000</v>
      </c>
      <c r="D137" s="630" t="str">
        <f>$A137&amp;B137&amp;C137</f>
        <v>KVX10001000</v>
      </c>
      <c r="E137" s="1046">
        <f t="shared" si="63"/>
        <v>845.18531050000001</v>
      </c>
      <c r="F137" s="631">
        <v>13</v>
      </c>
      <c r="G137" s="632">
        <f>F137*CCBASE!$B$51</f>
        <v>468</v>
      </c>
      <c r="H137" s="632">
        <f>CCBASE!$I$12*B137/1000</f>
        <v>119.65053730000001</v>
      </c>
      <c r="I137" s="632"/>
      <c r="J137" s="632"/>
      <c r="K137" s="632"/>
      <c r="L137" s="631"/>
      <c r="M137" s="632">
        <f>CCBASE!$I$15*B137/1000</f>
        <v>79.84588500000001</v>
      </c>
      <c r="N137" s="632"/>
      <c r="O137" s="632"/>
      <c r="P137" s="632"/>
      <c r="Q137" s="632">
        <f>CCBASE!$I$51</f>
        <v>2.9</v>
      </c>
      <c r="R137" s="632">
        <f>CCBASE!$I$4</f>
        <v>8.3986041999999994</v>
      </c>
      <c r="S137" s="632">
        <f>CCBASE!$I$8</f>
        <v>16.25526</v>
      </c>
      <c r="T137" s="631"/>
      <c r="U137" s="632"/>
      <c r="V137" s="632"/>
      <c r="W137" s="632">
        <f>CCBASE!$I$40*B137/1000</f>
        <v>41.308039999999998</v>
      </c>
      <c r="X137" s="632"/>
      <c r="Y137" s="632"/>
      <c r="Z137" s="632"/>
      <c r="AA137" s="632"/>
      <c r="AB137" s="632"/>
      <c r="AC137" s="632"/>
      <c r="AD137" s="632">
        <f>CCBASE!$I$32*2</f>
        <v>108.826984</v>
      </c>
      <c r="AI137" s="634"/>
      <c r="AJ137" s="634"/>
      <c r="AK137" s="635"/>
      <c r="AL137" s="635"/>
      <c r="AM137" s="635"/>
      <c r="AN137" s="635"/>
      <c r="AO137" s="635"/>
      <c r="AP137" s="635"/>
      <c r="AQ137" s="635"/>
      <c r="AR137" s="635"/>
      <c r="AS137" s="635"/>
    </row>
    <row r="138" spans="1:45" x14ac:dyDescent="0.2">
      <c r="A138" s="630" t="s">
        <v>186</v>
      </c>
      <c r="B138" s="630">
        <v>1250</v>
      </c>
      <c r="C138" s="630">
        <v>1000</v>
      </c>
      <c r="D138" s="630" t="str">
        <f t="shared" ref="D138:D181" si="66">$A138&amp;B138&amp;C138</f>
        <v>KVX12501000</v>
      </c>
      <c r="E138" s="1046">
        <f t="shared" si="63"/>
        <v>905.38642607500003</v>
      </c>
      <c r="F138" s="631">
        <v>13</v>
      </c>
      <c r="G138" s="632">
        <f>F138*CCBASE!$B$51</f>
        <v>468</v>
      </c>
      <c r="H138" s="632">
        <f>CCBASE!$I$12*B138/1000</f>
        <v>149.56317162500002</v>
      </c>
      <c r="I138" s="632"/>
      <c r="J138" s="632"/>
      <c r="K138" s="632"/>
      <c r="L138" s="631"/>
      <c r="M138" s="632">
        <f>CCBASE!$I$15*B138/1000</f>
        <v>99.807356250000012</v>
      </c>
      <c r="N138" s="632"/>
      <c r="O138" s="632"/>
      <c r="P138" s="632"/>
      <c r="Q138" s="632">
        <f>CCBASE!$I$51</f>
        <v>2.9</v>
      </c>
      <c r="R138" s="632">
        <f>CCBASE!$I$4</f>
        <v>8.3986041999999994</v>
      </c>
      <c r="S138" s="632">
        <f>CCBASE!$I$8</f>
        <v>16.25526</v>
      </c>
      <c r="T138" s="631"/>
      <c r="U138" s="632"/>
      <c r="V138" s="632"/>
      <c r="W138" s="632">
        <f>CCBASE!$I$40*B138/1000</f>
        <v>51.635049999999993</v>
      </c>
      <c r="X138" s="632"/>
      <c r="Y138" s="632"/>
      <c r="Z138" s="632"/>
      <c r="AA138" s="632"/>
      <c r="AB138" s="632"/>
      <c r="AC138" s="632"/>
      <c r="AD138" s="632">
        <f>CCBASE!$I$32*2</f>
        <v>108.826984</v>
      </c>
      <c r="AI138" s="634"/>
      <c r="AJ138" s="634"/>
      <c r="AK138" s="635"/>
      <c r="AL138" s="635"/>
      <c r="AM138" s="635"/>
      <c r="AN138" s="635"/>
      <c r="AO138" s="635"/>
      <c r="AP138" s="635"/>
      <c r="AQ138" s="635"/>
      <c r="AR138" s="635"/>
      <c r="AS138" s="635"/>
    </row>
    <row r="139" spans="1:45" x14ac:dyDescent="0.2">
      <c r="A139" s="630" t="s">
        <v>186</v>
      </c>
      <c r="B139" s="630">
        <v>1500</v>
      </c>
      <c r="C139" s="630">
        <v>1000</v>
      </c>
      <c r="D139" s="630" t="str">
        <f t="shared" si="66"/>
        <v>KVX15001000</v>
      </c>
      <c r="E139" s="1046">
        <f t="shared" si="63"/>
        <v>965.58754165000005</v>
      </c>
      <c r="F139" s="631">
        <v>13</v>
      </c>
      <c r="G139" s="632">
        <f>F139*CCBASE!$B$51</f>
        <v>468</v>
      </c>
      <c r="H139" s="632">
        <f>CCBASE!$I$12*B139/1000</f>
        <v>179.47580595000002</v>
      </c>
      <c r="I139" s="632"/>
      <c r="J139" s="632"/>
      <c r="K139" s="632"/>
      <c r="L139" s="631"/>
      <c r="M139" s="632">
        <f>CCBASE!$I$15*B139/1000</f>
        <v>119.76882750000001</v>
      </c>
      <c r="N139" s="632"/>
      <c r="O139" s="632"/>
      <c r="P139" s="632"/>
      <c r="Q139" s="632">
        <f>CCBASE!$I$51</f>
        <v>2.9</v>
      </c>
      <c r="R139" s="632">
        <f>CCBASE!$I$4</f>
        <v>8.3986041999999994</v>
      </c>
      <c r="S139" s="632">
        <f>CCBASE!$I$8</f>
        <v>16.25526</v>
      </c>
      <c r="T139" s="631"/>
      <c r="U139" s="632"/>
      <c r="V139" s="632"/>
      <c r="W139" s="632">
        <f>CCBASE!$I$40*B139/1000</f>
        <v>61.962060000000001</v>
      </c>
      <c r="X139" s="632"/>
      <c r="Y139" s="632"/>
      <c r="Z139" s="632"/>
      <c r="AA139" s="632"/>
      <c r="AB139" s="632"/>
      <c r="AC139" s="632"/>
      <c r="AD139" s="632">
        <f>CCBASE!$I$32*2</f>
        <v>108.826984</v>
      </c>
      <c r="AI139" s="634"/>
      <c r="AJ139" s="634"/>
      <c r="AK139" s="635"/>
      <c r="AL139" s="635"/>
      <c r="AM139" s="635"/>
      <c r="AN139" s="635"/>
      <c r="AO139" s="635"/>
      <c r="AP139" s="635"/>
      <c r="AQ139" s="635"/>
      <c r="AR139" s="635"/>
      <c r="AS139" s="635"/>
    </row>
    <row r="140" spans="1:45" x14ac:dyDescent="0.2">
      <c r="A140" s="630" t="s">
        <v>186</v>
      </c>
      <c r="B140" s="630">
        <v>1750</v>
      </c>
      <c r="C140" s="630">
        <v>1000</v>
      </c>
      <c r="D140" s="630" t="str">
        <f t="shared" si="66"/>
        <v>KVX17501000</v>
      </c>
      <c r="E140" s="1046">
        <f t="shared" si="63"/>
        <v>1025.788657225</v>
      </c>
      <c r="F140" s="631">
        <v>13</v>
      </c>
      <c r="G140" s="632">
        <f>F140*CCBASE!$B$51</f>
        <v>468</v>
      </c>
      <c r="H140" s="632">
        <f>CCBASE!$I$12*B140/1000</f>
        <v>209.38844027500002</v>
      </c>
      <c r="I140" s="632"/>
      <c r="J140" s="632"/>
      <c r="K140" s="632"/>
      <c r="L140" s="631"/>
      <c r="M140" s="632">
        <f>CCBASE!$I$15*B140/1000</f>
        <v>139.73029875</v>
      </c>
      <c r="N140" s="632"/>
      <c r="O140" s="632"/>
      <c r="P140" s="632"/>
      <c r="Q140" s="632">
        <f>CCBASE!$I$51</f>
        <v>2.9</v>
      </c>
      <c r="R140" s="632">
        <f>CCBASE!$I$4</f>
        <v>8.3986041999999994</v>
      </c>
      <c r="S140" s="632">
        <f>CCBASE!$I$8</f>
        <v>16.25526</v>
      </c>
      <c r="T140" s="631"/>
      <c r="U140" s="632"/>
      <c r="V140" s="632"/>
      <c r="W140" s="632">
        <f>CCBASE!$I$40*B140/1000</f>
        <v>72.289069999999995</v>
      </c>
      <c r="X140" s="632"/>
      <c r="Y140" s="632"/>
      <c r="Z140" s="632"/>
      <c r="AA140" s="632"/>
      <c r="AB140" s="632"/>
      <c r="AC140" s="632"/>
      <c r="AD140" s="632">
        <f>CCBASE!$I$32*2</f>
        <v>108.826984</v>
      </c>
      <c r="AI140" s="634"/>
      <c r="AJ140" s="634"/>
      <c r="AN140" s="635"/>
      <c r="AO140" s="635"/>
      <c r="AP140" s="635"/>
      <c r="AQ140" s="635"/>
      <c r="AR140" s="635"/>
      <c r="AS140" s="635"/>
    </row>
    <row r="141" spans="1:45" x14ac:dyDescent="0.2">
      <c r="A141" s="630" t="s">
        <v>186</v>
      </c>
      <c r="B141" s="630">
        <v>2000</v>
      </c>
      <c r="C141" s="630">
        <v>1000</v>
      </c>
      <c r="D141" s="630" t="str">
        <f t="shared" si="66"/>
        <v>KVX20001000</v>
      </c>
      <c r="E141" s="1046">
        <f t="shared" si="63"/>
        <v>1085.9897728000001</v>
      </c>
      <c r="F141" s="631">
        <v>13</v>
      </c>
      <c r="G141" s="632">
        <f>F141*CCBASE!$B$51</f>
        <v>468</v>
      </c>
      <c r="H141" s="632">
        <f>CCBASE!$I$12*B141/1000</f>
        <v>239.30107460000002</v>
      </c>
      <c r="I141" s="632"/>
      <c r="J141" s="632"/>
      <c r="K141" s="632"/>
      <c r="L141" s="631"/>
      <c r="M141" s="632">
        <f>CCBASE!$I$15*B141/1000</f>
        <v>159.69177000000002</v>
      </c>
      <c r="N141" s="632"/>
      <c r="O141" s="632"/>
      <c r="P141" s="632"/>
      <c r="Q141" s="632">
        <f>CCBASE!$I$51</f>
        <v>2.9</v>
      </c>
      <c r="R141" s="632">
        <f>CCBASE!$I$4</f>
        <v>8.3986041999999994</v>
      </c>
      <c r="S141" s="632">
        <f>CCBASE!$I$8</f>
        <v>16.25526</v>
      </c>
      <c r="T141" s="631"/>
      <c r="U141" s="632"/>
      <c r="V141" s="632"/>
      <c r="W141" s="632">
        <f>CCBASE!$I$40*B141/1000</f>
        <v>82.616079999999997</v>
      </c>
      <c r="X141" s="632"/>
      <c r="Y141" s="632"/>
      <c r="Z141" s="632"/>
      <c r="AA141" s="632"/>
      <c r="AB141" s="632"/>
      <c r="AC141" s="632"/>
      <c r="AD141" s="632">
        <f>CCBASE!$I$32*2</f>
        <v>108.826984</v>
      </c>
      <c r="AI141" s="634"/>
      <c r="AJ141" s="634"/>
      <c r="AN141" s="635"/>
      <c r="AO141" s="635"/>
      <c r="AP141" s="635"/>
      <c r="AQ141" s="635"/>
      <c r="AR141" s="635"/>
      <c r="AS141" s="635"/>
    </row>
    <row r="142" spans="1:45" x14ac:dyDescent="0.2">
      <c r="A142" s="630" t="s">
        <v>186</v>
      </c>
      <c r="B142" s="630">
        <v>2250</v>
      </c>
      <c r="C142" s="630">
        <v>1000</v>
      </c>
      <c r="D142" s="630" t="str">
        <f t="shared" si="66"/>
        <v>KVX22501000</v>
      </c>
      <c r="E142" s="1046">
        <f t="shared" si="63"/>
        <v>1182.1908883750002</v>
      </c>
      <c r="F142" s="631">
        <v>14</v>
      </c>
      <c r="G142" s="632">
        <f>F142*CCBASE!$B$51</f>
        <v>504</v>
      </c>
      <c r="H142" s="632">
        <f>CCBASE!$I$12*B142/1000</f>
        <v>269.21370892500005</v>
      </c>
      <c r="I142" s="632"/>
      <c r="J142" s="632"/>
      <c r="K142" s="632"/>
      <c r="L142" s="631"/>
      <c r="M142" s="632">
        <f>CCBASE!$I$15*B142/1000</f>
        <v>179.65324125000001</v>
      </c>
      <c r="N142" s="632"/>
      <c r="O142" s="632"/>
      <c r="P142" s="632"/>
      <c r="Q142" s="632">
        <f>CCBASE!$I$51</f>
        <v>2.9</v>
      </c>
      <c r="R142" s="632">
        <f>CCBASE!$I$4</f>
        <v>8.3986041999999994</v>
      </c>
      <c r="S142" s="632">
        <f>CCBASE!$I$8</f>
        <v>16.25526</v>
      </c>
      <c r="T142" s="631"/>
      <c r="U142" s="632"/>
      <c r="V142" s="632"/>
      <c r="W142" s="632">
        <f>CCBASE!$I$40*B142/1000</f>
        <v>92.943089999999998</v>
      </c>
      <c r="X142" s="632"/>
      <c r="Y142" s="632"/>
      <c r="Z142" s="632"/>
      <c r="AA142" s="632"/>
      <c r="AB142" s="632"/>
      <c r="AC142" s="632"/>
      <c r="AD142" s="632">
        <f>CCBASE!$I$32*2</f>
        <v>108.826984</v>
      </c>
      <c r="AI142" s="634"/>
      <c r="AJ142" s="634"/>
      <c r="AN142" s="635"/>
      <c r="AO142" s="635"/>
      <c r="AP142" s="635"/>
      <c r="AQ142" s="635"/>
      <c r="AR142" s="635"/>
      <c r="AS142" s="635"/>
    </row>
    <row r="143" spans="1:45" x14ac:dyDescent="0.2">
      <c r="A143" s="630" t="s">
        <v>186</v>
      </c>
      <c r="B143" s="630">
        <v>2500</v>
      </c>
      <c r="C143" s="630">
        <v>1000</v>
      </c>
      <c r="D143" s="630" t="str">
        <f t="shared" si="66"/>
        <v>KVX25001000</v>
      </c>
      <c r="E143" s="1046">
        <f t="shared" si="63"/>
        <v>1242.3920039499999</v>
      </c>
      <c r="F143" s="631">
        <v>14</v>
      </c>
      <c r="G143" s="632">
        <f>F143*CCBASE!$B$51</f>
        <v>504</v>
      </c>
      <c r="H143" s="632">
        <f>CCBASE!$I$12*B143/1000</f>
        <v>299.12634325000005</v>
      </c>
      <c r="I143" s="632"/>
      <c r="J143" s="632"/>
      <c r="K143" s="632"/>
      <c r="L143" s="631"/>
      <c r="M143" s="632">
        <f>CCBASE!$I$15*B143/1000</f>
        <v>199.61471250000002</v>
      </c>
      <c r="N143" s="632"/>
      <c r="O143" s="632"/>
      <c r="P143" s="632"/>
      <c r="Q143" s="632">
        <f>CCBASE!$I$51</f>
        <v>2.9</v>
      </c>
      <c r="R143" s="632">
        <f>CCBASE!$I$4</f>
        <v>8.3986041999999994</v>
      </c>
      <c r="S143" s="632">
        <f>CCBASE!$I$8</f>
        <v>16.25526</v>
      </c>
      <c r="T143" s="631"/>
      <c r="U143" s="632"/>
      <c r="V143" s="632"/>
      <c r="W143" s="632">
        <f>CCBASE!$I$40*B143/1000</f>
        <v>103.27009999999999</v>
      </c>
      <c r="X143" s="632"/>
      <c r="Y143" s="632"/>
      <c r="Z143" s="632"/>
      <c r="AA143" s="632"/>
      <c r="AB143" s="632"/>
      <c r="AC143" s="632"/>
      <c r="AD143" s="632">
        <f>CCBASE!$I$32*2</f>
        <v>108.826984</v>
      </c>
      <c r="AI143" s="634"/>
      <c r="AJ143" s="634"/>
      <c r="AN143" s="635"/>
      <c r="AO143" s="635"/>
      <c r="AP143" s="635"/>
      <c r="AQ143" s="635"/>
      <c r="AR143" s="635"/>
      <c r="AS143" s="635"/>
    </row>
    <row r="144" spans="1:45" x14ac:dyDescent="0.2">
      <c r="A144" s="630" t="s">
        <v>186</v>
      </c>
      <c r="B144" s="630">
        <v>2750</v>
      </c>
      <c r="C144" s="630">
        <v>1000</v>
      </c>
      <c r="D144" s="630" t="str">
        <f t="shared" si="66"/>
        <v>KVX27501000</v>
      </c>
      <c r="E144" s="1046">
        <f t="shared" si="63"/>
        <v>1302.5931195249998</v>
      </c>
      <c r="F144" s="631">
        <v>14</v>
      </c>
      <c r="G144" s="632">
        <f>F144*CCBASE!$B$51</f>
        <v>504</v>
      </c>
      <c r="H144" s="632">
        <f>CCBASE!$I$12*B144/1000</f>
        <v>329.03897757500005</v>
      </c>
      <c r="I144" s="632"/>
      <c r="J144" s="632"/>
      <c r="K144" s="632"/>
      <c r="L144" s="631"/>
      <c r="M144" s="632">
        <f>CCBASE!$I$15*B144/1000</f>
        <v>219.57618375000001</v>
      </c>
      <c r="N144" s="632"/>
      <c r="O144" s="632"/>
      <c r="P144" s="632"/>
      <c r="Q144" s="632">
        <f>CCBASE!$I$51</f>
        <v>2.9</v>
      </c>
      <c r="R144" s="632">
        <f>CCBASE!$I$4</f>
        <v>8.3986041999999994</v>
      </c>
      <c r="S144" s="632">
        <f>CCBASE!$I$8</f>
        <v>16.25526</v>
      </c>
      <c r="T144" s="631"/>
      <c r="U144" s="632"/>
      <c r="V144" s="632"/>
      <c r="W144" s="632">
        <f>CCBASE!$I$40*B144/1000</f>
        <v>113.59711</v>
      </c>
      <c r="X144" s="632"/>
      <c r="Y144" s="632"/>
      <c r="Z144" s="632"/>
      <c r="AA144" s="632"/>
      <c r="AB144" s="632"/>
      <c r="AC144" s="632"/>
      <c r="AD144" s="632">
        <f>CCBASE!$I$32*2</f>
        <v>108.826984</v>
      </c>
      <c r="AI144" s="634"/>
      <c r="AJ144" s="634"/>
      <c r="AN144" s="635"/>
      <c r="AO144" s="635"/>
      <c r="AP144" s="635"/>
      <c r="AQ144" s="635"/>
      <c r="AR144" s="635"/>
      <c r="AS144" s="635"/>
    </row>
    <row r="145" spans="1:45" x14ac:dyDescent="0.2">
      <c r="A145" s="630" t="s">
        <v>186</v>
      </c>
      <c r="B145" s="630">
        <v>3000</v>
      </c>
      <c r="C145" s="630">
        <v>1000</v>
      </c>
      <c r="D145" s="630" t="str">
        <f t="shared" si="66"/>
        <v>KVX30001000</v>
      </c>
      <c r="E145" s="1046">
        <f t="shared" si="63"/>
        <v>1362.7942350999999</v>
      </c>
      <c r="F145" s="631">
        <v>14</v>
      </c>
      <c r="G145" s="632">
        <f>F145*CCBASE!$B$51</f>
        <v>504</v>
      </c>
      <c r="H145" s="632">
        <f>CCBASE!$I$12*B145/1000</f>
        <v>358.95161190000005</v>
      </c>
      <c r="I145" s="632"/>
      <c r="J145" s="632"/>
      <c r="K145" s="632"/>
      <c r="L145" s="631"/>
      <c r="M145" s="632">
        <f>CCBASE!$I$15*B145/1000</f>
        <v>239.53765500000003</v>
      </c>
      <c r="N145" s="632"/>
      <c r="O145" s="632"/>
      <c r="P145" s="632"/>
      <c r="Q145" s="632">
        <f>CCBASE!$I$51</f>
        <v>2.9</v>
      </c>
      <c r="R145" s="632">
        <f>CCBASE!$I$4</f>
        <v>8.3986041999999994</v>
      </c>
      <c r="S145" s="632">
        <f>CCBASE!$I$8</f>
        <v>16.25526</v>
      </c>
      <c r="T145" s="631"/>
      <c r="U145" s="632"/>
      <c r="V145" s="632"/>
      <c r="W145" s="632">
        <f>CCBASE!$I$40*B145/1000</f>
        <v>123.92412</v>
      </c>
      <c r="X145" s="632"/>
      <c r="Y145" s="632"/>
      <c r="Z145" s="632"/>
      <c r="AA145" s="632"/>
      <c r="AB145" s="632"/>
      <c r="AC145" s="632"/>
      <c r="AD145" s="632">
        <f>CCBASE!$I$32*2</f>
        <v>108.826984</v>
      </c>
      <c r="AI145" s="634"/>
      <c r="AJ145" s="634"/>
      <c r="AN145" s="635"/>
      <c r="AO145" s="635"/>
      <c r="AP145" s="635"/>
      <c r="AQ145" s="635"/>
      <c r="AR145" s="635"/>
      <c r="AS145" s="635"/>
    </row>
    <row r="146" spans="1:45" x14ac:dyDescent="0.2">
      <c r="A146" s="630" t="s">
        <v>186</v>
      </c>
      <c r="B146" s="630">
        <v>1000</v>
      </c>
      <c r="C146" s="630">
        <v>1250</v>
      </c>
      <c r="D146" s="630" t="str">
        <f t="shared" si="66"/>
        <v>KVX10001250</v>
      </c>
      <c r="E146" s="1046">
        <f t="shared" si="63"/>
        <v>845.18531050000001</v>
      </c>
      <c r="F146" s="631">
        <v>13</v>
      </c>
      <c r="G146" s="632">
        <f>F146*CCBASE!$B$51</f>
        <v>468</v>
      </c>
      <c r="H146" s="632">
        <f>CCBASE!$I$12*B146/1000</f>
        <v>119.65053730000001</v>
      </c>
      <c r="I146" s="632"/>
      <c r="J146" s="632"/>
      <c r="K146" s="632"/>
      <c r="L146" s="631"/>
      <c r="M146" s="632">
        <f>CCBASE!$I$15*B146/1000</f>
        <v>79.84588500000001</v>
      </c>
      <c r="N146" s="632"/>
      <c r="O146" s="632"/>
      <c r="P146" s="632"/>
      <c r="Q146" s="632">
        <f>CCBASE!$I$51</f>
        <v>2.9</v>
      </c>
      <c r="R146" s="632">
        <f>CCBASE!$I$4</f>
        <v>8.3986041999999994</v>
      </c>
      <c r="S146" s="632">
        <f>CCBASE!$I$8</f>
        <v>16.25526</v>
      </c>
      <c r="T146" s="631"/>
      <c r="U146" s="632"/>
      <c r="V146" s="632"/>
      <c r="W146" s="632">
        <f>CCBASE!$I$40*B146/1000</f>
        <v>41.308039999999998</v>
      </c>
      <c r="X146" s="632"/>
      <c r="Y146" s="632"/>
      <c r="Z146" s="632"/>
      <c r="AA146" s="632"/>
      <c r="AB146" s="632"/>
      <c r="AC146" s="632"/>
      <c r="AD146" s="632">
        <f>CCBASE!$I$32*2</f>
        <v>108.826984</v>
      </c>
      <c r="AI146" s="634"/>
      <c r="AJ146" s="634"/>
      <c r="AK146" s="635"/>
      <c r="AL146" s="635"/>
      <c r="AM146" s="635"/>
      <c r="AN146" s="635"/>
      <c r="AO146" s="635"/>
      <c r="AP146" s="635"/>
      <c r="AQ146" s="635"/>
      <c r="AR146" s="635"/>
      <c r="AS146" s="635"/>
    </row>
    <row r="147" spans="1:45" x14ac:dyDescent="0.2">
      <c r="A147" s="630" t="s">
        <v>186</v>
      </c>
      <c r="B147" s="630">
        <v>1250</v>
      </c>
      <c r="C147" s="630">
        <v>1250</v>
      </c>
      <c r="D147" s="630" t="str">
        <f t="shared" si="66"/>
        <v>KVX12501250</v>
      </c>
      <c r="E147" s="1046">
        <f t="shared" si="63"/>
        <v>905.38642607500003</v>
      </c>
      <c r="F147" s="631">
        <v>13</v>
      </c>
      <c r="G147" s="632">
        <f>F147*CCBASE!$B$51</f>
        <v>468</v>
      </c>
      <c r="H147" s="632">
        <f>CCBASE!$I$12*B147/1000</f>
        <v>149.56317162500002</v>
      </c>
      <c r="I147" s="632"/>
      <c r="J147" s="632"/>
      <c r="K147" s="632"/>
      <c r="L147" s="631"/>
      <c r="M147" s="632">
        <f>CCBASE!$I$15*B147/1000</f>
        <v>99.807356250000012</v>
      </c>
      <c r="N147" s="632"/>
      <c r="O147" s="632"/>
      <c r="P147" s="632"/>
      <c r="Q147" s="632">
        <f>CCBASE!$I$51</f>
        <v>2.9</v>
      </c>
      <c r="R147" s="632">
        <f>CCBASE!$I$4</f>
        <v>8.3986041999999994</v>
      </c>
      <c r="S147" s="632">
        <f>CCBASE!$I$8</f>
        <v>16.25526</v>
      </c>
      <c r="T147" s="631"/>
      <c r="U147" s="632"/>
      <c r="V147" s="632"/>
      <c r="W147" s="632">
        <f>CCBASE!$I$40*B147/1000</f>
        <v>51.635049999999993</v>
      </c>
      <c r="X147" s="632"/>
      <c r="Y147" s="632"/>
      <c r="Z147" s="632"/>
      <c r="AA147" s="632"/>
      <c r="AB147" s="632"/>
      <c r="AC147" s="632"/>
      <c r="AD147" s="632">
        <f>CCBASE!$I$32*2</f>
        <v>108.826984</v>
      </c>
      <c r="AI147" s="634"/>
      <c r="AJ147" s="634"/>
      <c r="AK147" s="635"/>
      <c r="AL147" s="635"/>
      <c r="AM147" s="635"/>
      <c r="AN147" s="635"/>
      <c r="AO147" s="635"/>
      <c r="AP147" s="635"/>
      <c r="AQ147" s="635"/>
      <c r="AR147" s="635"/>
      <c r="AS147" s="635"/>
    </row>
    <row r="148" spans="1:45" x14ac:dyDescent="0.2">
      <c r="A148" s="630" t="s">
        <v>186</v>
      </c>
      <c r="B148" s="630">
        <v>1500</v>
      </c>
      <c r="C148" s="630">
        <v>1250</v>
      </c>
      <c r="D148" s="630" t="str">
        <f t="shared" si="66"/>
        <v>KVX15001250</v>
      </c>
      <c r="E148" s="1046">
        <f t="shared" si="63"/>
        <v>965.58754165000005</v>
      </c>
      <c r="F148" s="631">
        <v>13</v>
      </c>
      <c r="G148" s="632">
        <f>F148*CCBASE!$B$51</f>
        <v>468</v>
      </c>
      <c r="H148" s="632">
        <f>CCBASE!$I$12*B148/1000</f>
        <v>179.47580595000002</v>
      </c>
      <c r="I148" s="632"/>
      <c r="J148" s="632"/>
      <c r="K148" s="632"/>
      <c r="L148" s="631"/>
      <c r="M148" s="632">
        <f>CCBASE!$I$15*B148/1000</f>
        <v>119.76882750000001</v>
      </c>
      <c r="N148" s="632"/>
      <c r="O148" s="632"/>
      <c r="P148" s="632"/>
      <c r="Q148" s="632">
        <f>CCBASE!$I$51</f>
        <v>2.9</v>
      </c>
      <c r="R148" s="632">
        <f>CCBASE!$I$4</f>
        <v>8.3986041999999994</v>
      </c>
      <c r="S148" s="632">
        <f>CCBASE!$I$8</f>
        <v>16.25526</v>
      </c>
      <c r="T148" s="631"/>
      <c r="U148" s="632"/>
      <c r="V148" s="632"/>
      <c r="W148" s="632">
        <f>CCBASE!$I$40*B148/1000</f>
        <v>61.962060000000001</v>
      </c>
      <c r="X148" s="632"/>
      <c r="Y148" s="632"/>
      <c r="Z148" s="632"/>
      <c r="AA148" s="632"/>
      <c r="AB148" s="632"/>
      <c r="AC148" s="632"/>
      <c r="AD148" s="632">
        <f>CCBASE!$I$32*2</f>
        <v>108.826984</v>
      </c>
      <c r="AI148" s="634"/>
      <c r="AJ148" s="634"/>
      <c r="AK148" s="635"/>
      <c r="AL148" s="635"/>
      <c r="AM148" s="635"/>
      <c r="AN148" s="635"/>
      <c r="AO148" s="635"/>
      <c r="AP148" s="635"/>
      <c r="AQ148" s="635"/>
      <c r="AR148" s="635"/>
      <c r="AS148" s="635"/>
    </row>
    <row r="149" spans="1:45" x14ac:dyDescent="0.2">
      <c r="A149" s="630" t="s">
        <v>186</v>
      </c>
      <c r="B149" s="630">
        <v>1750</v>
      </c>
      <c r="C149" s="630">
        <v>1250</v>
      </c>
      <c r="D149" s="630" t="str">
        <f t="shared" si="66"/>
        <v>KVX17501250</v>
      </c>
      <c r="E149" s="1046">
        <f t="shared" si="63"/>
        <v>1025.788657225</v>
      </c>
      <c r="F149" s="631">
        <v>13</v>
      </c>
      <c r="G149" s="632">
        <f>F149*CCBASE!$B$51</f>
        <v>468</v>
      </c>
      <c r="H149" s="632">
        <f>CCBASE!$I$12*B149/1000</f>
        <v>209.38844027500002</v>
      </c>
      <c r="I149" s="632"/>
      <c r="J149" s="632"/>
      <c r="K149" s="632"/>
      <c r="L149" s="631"/>
      <c r="M149" s="632">
        <f>CCBASE!$I$15*B149/1000</f>
        <v>139.73029875</v>
      </c>
      <c r="N149" s="632"/>
      <c r="O149" s="632"/>
      <c r="P149" s="632"/>
      <c r="Q149" s="632">
        <f>CCBASE!$I$51</f>
        <v>2.9</v>
      </c>
      <c r="R149" s="632">
        <f>CCBASE!$I$4</f>
        <v>8.3986041999999994</v>
      </c>
      <c r="S149" s="632">
        <f>CCBASE!$I$8</f>
        <v>16.25526</v>
      </c>
      <c r="T149" s="631"/>
      <c r="U149" s="632"/>
      <c r="V149" s="632"/>
      <c r="W149" s="632">
        <f>CCBASE!$I$40*B149/1000</f>
        <v>72.289069999999995</v>
      </c>
      <c r="X149" s="632"/>
      <c r="Y149" s="632"/>
      <c r="Z149" s="632"/>
      <c r="AA149" s="632"/>
      <c r="AB149" s="632"/>
      <c r="AC149" s="632"/>
      <c r="AD149" s="632">
        <f>CCBASE!$I$32*2</f>
        <v>108.826984</v>
      </c>
      <c r="AI149" s="634"/>
      <c r="AJ149" s="634"/>
      <c r="AN149" s="635"/>
      <c r="AO149" s="635"/>
      <c r="AP149" s="635"/>
      <c r="AQ149" s="635"/>
      <c r="AR149" s="635"/>
      <c r="AS149" s="635"/>
    </row>
    <row r="150" spans="1:45" x14ac:dyDescent="0.2">
      <c r="A150" s="630" t="s">
        <v>186</v>
      </c>
      <c r="B150" s="630">
        <v>2000</v>
      </c>
      <c r="C150" s="630">
        <v>1250</v>
      </c>
      <c r="D150" s="630" t="str">
        <f t="shared" si="66"/>
        <v>KVX20001250</v>
      </c>
      <c r="E150" s="1046">
        <f t="shared" si="63"/>
        <v>1085.9897728000001</v>
      </c>
      <c r="F150" s="631">
        <v>13</v>
      </c>
      <c r="G150" s="632">
        <f>F150*CCBASE!$B$51</f>
        <v>468</v>
      </c>
      <c r="H150" s="632">
        <f>CCBASE!$I$12*B150/1000</f>
        <v>239.30107460000002</v>
      </c>
      <c r="I150" s="632"/>
      <c r="J150" s="632"/>
      <c r="K150" s="632"/>
      <c r="L150" s="631"/>
      <c r="M150" s="632">
        <f>CCBASE!$I$15*B150/1000</f>
        <v>159.69177000000002</v>
      </c>
      <c r="N150" s="632"/>
      <c r="O150" s="632"/>
      <c r="P150" s="632"/>
      <c r="Q150" s="632">
        <f>CCBASE!$I$51</f>
        <v>2.9</v>
      </c>
      <c r="R150" s="632">
        <f>CCBASE!$I$4</f>
        <v>8.3986041999999994</v>
      </c>
      <c r="S150" s="632">
        <f>CCBASE!$I$8</f>
        <v>16.25526</v>
      </c>
      <c r="T150" s="631"/>
      <c r="U150" s="632"/>
      <c r="V150" s="632"/>
      <c r="W150" s="632">
        <f>CCBASE!$I$40*B150/1000</f>
        <v>82.616079999999997</v>
      </c>
      <c r="X150" s="632"/>
      <c r="Y150" s="632"/>
      <c r="Z150" s="632"/>
      <c r="AA150" s="632"/>
      <c r="AB150" s="632"/>
      <c r="AC150" s="632"/>
      <c r="AD150" s="632">
        <f>CCBASE!$I$32*2</f>
        <v>108.826984</v>
      </c>
      <c r="AI150" s="634"/>
      <c r="AJ150" s="634"/>
      <c r="AN150" s="635"/>
      <c r="AO150" s="635"/>
      <c r="AP150" s="635"/>
      <c r="AQ150" s="635"/>
      <c r="AR150" s="635"/>
      <c r="AS150" s="635"/>
    </row>
    <row r="151" spans="1:45" x14ac:dyDescent="0.2">
      <c r="A151" s="630" t="s">
        <v>186</v>
      </c>
      <c r="B151" s="630">
        <v>2250</v>
      </c>
      <c r="C151" s="630">
        <v>1250</v>
      </c>
      <c r="D151" s="630" t="str">
        <f t="shared" si="66"/>
        <v>KVX22501250</v>
      </c>
      <c r="E151" s="1046">
        <f t="shared" si="63"/>
        <v>1182.1908883750002</v>
      </c>
      <c r="F151" s="631">
        <v>14</v>
      </c>
      <c r="G151" s="632">
        <f>F151*CCBASE!$B$51</f>
        <v>504</v>
      </c>
      <c r="H151" s="632">
        <f>CCBASE!$I$12*B151/1000</f>
        <v>269.21370892500005</v>
      </c>
      <c r="I151" s="632"/>
      <c r="J151" s="632"/>
      <c r="K151" s="632"/>
      <c r="L151" s="631"/>
      <c r="M151" s="632">
        <f>CCBASE!$I$15*B151/1000</f>
        <v>179.65324125000001</v>
      </c>
      <c r="N151" s="632"/>
      <c r="O151" s="632"/>
      <c r="P151" s="632"/>
      <c r="Q151" s="632">
        <f>CCBASE!$I$51</f>
        <v>2.9</v>
      </c>
      <c r="R151" s="632">
        <f>CCBASE!$I$4</f>
        <v>8.3986041999999994</v>
      </c>
      <c r="S151" s="632">
        <f>CCBASE!$I$8</f>
        <v>16.25526</v>
      </c>
      <c r="T151" s="631"/>
      <c r="U151" s="632"/>
      <c r="V151" s="632"/>
      <c r="W151" s="632">
        <f>CCBASE!$I$40*B151/1000</f>
        <v>92.943089999999998</v>
      </c>
      <c r="X151" s="632"/>
      <c r="Y151" s="632"/>
      <c r="Z151" s="632"/>
      <c r="AA151" s="632"/>
      <c r="AB151" s="632"/>
      <c r="AC151" s="632"/>
      <c r="AD151" s="632">
        <f>CCBASE!$I$32*2</f>
        <v>108.826984</v>
      </c>
      <c r="AI151" s="634"/>
      <c r="AJ151" s="634"/>
      <c r="AN151" s="635"/>
      <c r="AO151" s="635"/>
      <c r="AP151" s="635"/>
      <c r="AQ151" s="635"/>
      <c r="AR151" s="635"/>
      <c r="AS151" s="635"/>
    </row>
    <row r="152" spans="1:45" x14ac:dyDescent="0.2">
      <c r="A152" s="630" t="s">
        <v>186</v>
      </c>
      <c r="B152" s="630">
        <v>2500</v>
      </c>
      <c r="C152" s="630">
        <v>1250</v>
      </c>
      <c r="D152" s="630" t="str">
        <f t="shared" si="66"/>
        <v>KVX25001250</v>
      </c>
      <c r="E152" s="1046">
        <f t="shared" si="63"/>
        <v>1242.3920039499999</v>
      </c>
      <c r="F152" s="631">
        <v>14</v>
      </c>
      <c r="G152" s="632">
        <f>F152*CCBASE!$B$51</f>
        <v>504</v>
      </c>
      <c r="H152" s="632">
        <f>CCBASE!$I$12*B152/1000</f>
        <v>299.12634325000005</v>
      </c>
      <c r="I152" s="632"/>
      <c r="J152" s="632"/>
      <c r="K152" s="632"/>
      <c r="L152" s="631"/>
      <c r="M152" s="632">
        <f>CCBASE!$I$15*B152/1000</f>
        <v>199.61471250000002</v>
      </c>
      <c r="N152" s="632"/>
      <c r="O152" s="632"/>
      <c r="P152" s="632"/>
      <c r="Q152" s="632">
        <f>CCBASE!$I$51</f>
        <v>2.9</v>
      </c>
      <c r="R152" s="632">
        <f>CCBASE!$I$4</f>
        <v>8.3986041999999994</v>
      </c>
      <c r="S152" s="632">
        <f>CCBASE!$I$8</f>
        <v>16.25526</v>
      </c>
      <c r="T152" s="631"/>
      <c r="U152" s="632"/>
      <c r="V152" s="632"/>
      <c r="W152" s="632">
        <f>CCBASE!$I$40*B152/1000</f>
        <v>103.27009999999999</v>
      </c>
      <c r="X152" s="632"/>
      <c r="Y152" s="632"/>
      <c r="Z152" s="632"/>
      <c r="AA152" s="632"/>
      <c r="AB152" s="632"/>
      <c r="AC152" s="632"/>
      <c r="AD152" s="632">
        <f>CCBASE!$I$32*2</f>
        <v>108.826984</v>
      </c>
      <c r="AI152" s="634"/>
      <c r="AJ152" s="634"/>
      <c r="AN152" s="635"/>
      <c r="AO152" s="635"/>
      <c r="AP152" s="635"/>
      <c r="AQ152" s="635"/>
      <c r="AR152" s="635"/>
      <c r="AS152" s="635"/>
    </row>
    <row r="153" spans="1:45" x14ac:dyDescent="0.2">
      <c r="A153" s="630" t="s">
        <v>186</v>
      </c>
      <c r="B153" s="630">
        <v>2750</v>
      </c>
      <c r="C153" s="630">
        <v>1250</v>
      </c>
      <c r="D153" s="630" t="str">
        <f t="shared" si="66"/>
        <v>KVX27501250</v>
      </c>
      <c r="E153" s="1046">
        <f t="shared" si="63"/>
        <v>1302.5931195249998</v>
      </c>
      <c r="F153" s="631">
        <v>14</v>
      </c>
      <c r="G153" s="632">
        <f>F153*CCBASE!$B$51</f>
        <v>504</v>
      </c>
      <c r="H153" s="632">
        <f>CCBASE!$I$12*B153/1000</f>
        <v>329.03897757500005</v>
      </c>
      <c r="I153" s="632"/>
      <c r="J153" s="632"/>
      <c r="K153" s="632"/>
      <c r="L153" s="631"/>
      <c r="M153" s="632">
        <f>CCBASE!$I$15*B153/1000</f>
        <v>219.57618375000001</v>
      </c>
      <c r="N153" s="632"/>
      <c r="O153" s="632"/>
      <c r="P153" s="632"/>
      <c r="Q153" s="632">
        <f>CCBASE!$I$51</f>
        <v>2.9</v>
      </c>
      <c r="R153" s="632">
        <f>CCBASE!$I$4</f>
        <v>8.3986041999999994</v>
      </c>
      <c r="S153" s="632">
        <f>CCBASE!$I$8</f>
        <v>16.25526</v>
      </c>
      <c r="T153" s="631"/>
      <c r="U153" s="632"/>
      <c r="V153" s="632"/>
      <c r="W153" s="632">
        <f>CCBASE!$I$40*B153/1000</f>
        <v>113.59711</v>
      </c>
      <c r="X153" s="632"/>
      <c r="Y153" s="632"/>
      <c r="Z153" s="632"/>
      <c r="AA153" s="632"/>
      <c r="AB153" s="632"/>
      <c r="AC153" s="632"/>
      <c r="AD153" s="632">
        <f>CCBASE!$I$32*2</f>
        <v>108.826984</v>
      </c>
      <c r="AI153" s="634"/>
      <c r="AJ153" s="634"/>
      <c r="AN153" s="635"/>
      <c r="AO153" s="635"/>
      <c r="AP153" s="635"/>
      <c r="AQ153" s="635"/>
      <c r="AR153" s="635"/>
      <c r="AS153" s="635"/>
    </row>
    <row r="154" spans="1:45" x14ac:dyDescent="0.2">
      <c r="A154" s="630" t="s">
        <v>186</v>
      </c>
      <c r="B154" s="630">
        <v>3000</v>
      </c>
      <c r="C154" s="630">
        <v>1250</v>
      </c>
      <c r="D154" s="630" t="str">
        <f t="shared" si="66"/>
        <v>KVX30001250</v>
      </c>
      <c r="E154" s="1046">
        <f t="shared" si="63"/>
        <v>1362.7942350999999</v>
      </c>
      <c r="F154" s="631">
        <v>14</v>
      </c>
      <c r="G154" s="632">
        <f>F154*CCBASE!$B$51</f>
        <v>504</v>
      </c>
      <c r="H154" s="632">
        <f>CCBASE!$I$12*B154/1000</f>
        <v>358.95161190000005</v>
      </c>
      <c r="I154" s="632"/>
      <c r="J154" s="632"/>
      <c r="K154" s="632"/>
      <c r="L154" s="631"/>
      <c r="M154" s="632">
        <f>CCBASE!$I$15*B154/1000</f>
        <v>239.53765500000003</v>
      </c>
      <c r="N154" s="632"/>
      <c r="O154" s="632"/>
      <c r="P154" s="632"/>
      <c r="Q154" s="632">
        <f>CCBASE!$I$51</f>
        <v>2.9</v>
      </c>
      <c r="R154" s="632">
        <f>CCBASE!$I$4</f>
        <v>8.3986041999999994</v>
      </c>
      <c r="S154" s="632">
        <f>CCBASE!$I$8</f>
        <v>16.25526</v>
      </c>
      <c r="T154" s="631"/>
      <c r="U154" s="632"/>
      <c r="V154" s="632"/>
      <c r="W154" s="632">
        <f>CCBASE!$I$40*B154/1000</f>
        <v>123.92412</v>
      </c>
      <c r="X154" s="632"/>
      <c r="Y154" s="632"/>
      <c r="Z154" s="632"/>
      <c r="AA154" s="632"/>
      <c r="AB154" s="632"/>
      <c r="AC154" s="632"/>
      <c r="AD154" s="632">
        <f>CCBASE!$I$32*2</f>
        <v>108.826984</v>
      </c>
      <c r="AI154" s="634"/>
      <c r="AJ154" s="634"/>
      <c r="AN154" s="635"/>
      <c r="AO154" s="635"/>
      <c r="AP154" s="635"/>
      <c r="AQ154" s="635"/>
      <c r="AR154" s="635"/>
      <c r="AS154" s="635"/>
    </row>
    <row r="155" spans="1:45" x14ac:dyDescent="0.2">
      <c r="A155" s="630" t="s">
        <v>186</v>
      </c>
      <c r="B155" s="630">
        <v>1000</v>
      </c>
      <c r="C155" s="630">
        <v>1500</v>
      </c>
      <c r="D155" s="630" t="str">
        <f t="shared" si="66"/>
        <v>KVX10001500</v>
      </c>
      <c r="E155" s="1046">
        <f t="shared" si="63"/>
        <v>890.13558649999993</v>
      </c>
      <c r="F155" s="631">
        <v>13</v>
      </c>
      <c r="G155" s="632">
        <f>F155*CCBASE!$B$51</f>
        <v>468</v>
      </c>
      <c r="H155" s="632">
        <f>CCBASE!$I$12*B155/1000</f>
        <v>119.65053730000001</v>
      </c>
      <c r="I155" s="632"/>
      <c r="J155" s="632"/>
      <c r="K155" s="632"/>
      <c r="L155" s="631"/>
      <c r="M155" s="632">
        <f>CCBASE!$I$15*B155/1000</f>
        <v>79.84588500000001</v>
      </c>
      <c r="N155" s="632"/>
      <c r="O155" s="632"/>
      <c r="P155" s="632"/>
      <c r="Q155" s="632">
        <f>CCBASE!$I$51</f>
        <v>2.9</v>
      </c>
      <c r="R155" s="632">
        <f>CCBASE!$I$4</f>
        <v>8.3986041999999994</v>
      </c>
      <c r="S155" s="632">
        <f>CCBASE!$I$8</f>
        <v>16.25526</v>
      </c>
      <c r="T155" s="631"/>
      <c r="U155" s="632"/>
      <c r="V155" s="632"/>
      <c r="W155" s="632">
        <f>CCBASE!$I$41*B155/1000</f>
        <v>59.051569999999998</v>
      </c>
      <c r="X155" s="632"/>
      <c r="Y155" s="632"/>
      <c r="Z155" s="632"/>
      <c r="AA155" s="632"/>
      <c r="AB155" s="632"/>
      <c r="AC155" s="632"/>
      <c r="AD155" s="632">
        <f>CCBASE!$I$33*2</f>
        <v>136.03372999999999</v>
      </c>
      <c r="AI155" s="634"/>
      <c r="AJ155" s="634"/>
      <c r="AN155" s="635"/>
      <c r="AO155" s="635"/>
      <c r="AP155" s="635"/>
      <c r="AQ155" s="635"/>
      <c r="AR155" s="635"/>
      <c r="AS155" s="635"/>
    </row>
    <row r="156" spans="1:45" x14ac:dyDescent="0.2">
      <c r="A156" s="630" t="s">
        <v>186</v>
      </c>
      <c r="B156" s="630">
        <v>1250</v>
      </c>
      <c r="C156" s="630">
        <v>1500</v>
      </c>
      <c r="D156" s="630" t="str">
        <f t="shared" si="66"/>
        <v>KVX12501500</v>
      </c>
      <c r="E156" s="1046">
        <f t="shared" si="63"/>
        <v>954.772584575</v>
      </c>
      <c r="F156" s="631">
        <v>13</v>
      </c>
      <c r="G156" s="632">
        <f>F156*CCBASE!$B$51</f>
        <v>468</v>
      </c>
      <c r="H156" s="632">
        <f>CCBASE!$I$12*B156/1000</f>
        <v>149.56317162500002</v>
      </c>
      <c r="I156" s="632"/>
      <c r="J156" s="632"/>
      <c r="K156" s="632"/>
      <c r="L156" s="631"/>
      <c r="M156" s="632">
        <f>CCBASE!$I$15*B156/1000</f>
        <v>99.807356250000012</v>
      </c>
      <c r="N156" s="632"/>
      <c r="O156" s="632"/>
      <c r="P156" s="632"/>
      <c r="Q156" s="632">
        <f>CCBASE!$I$51</f>
        <v>2.9</v>
      </c>
      <c r="R156" s="632">
        <f>CCBASE!$I$4</f>
        <v>8.3986041999999994</v>
      </c>
      <c r="S156" s="632">
        <f>CCBASE!$I$8</f>
        <v>16.25526</v>
      </c>
      <c r="T156" s="631"/>
      <c r="U156" s="632"/>
      <c r="V156" s="632"/>
      <c r="W156" s="632">
        <f>CCBASE!$I$41*B156/1000</f>
        <v>73.814462499999991</v>
      </c>
      <c r="X156" s="632"/>
      <c r="Y156" s="632"/>
      <c r="Z156" s="632"/>
      <c r="AA156" s="632"/>
      <c r="AB156" s="632"/>
      <c r="AC156" s="632"/>
      <c r="AD156" s="632">
        <f>CCBASE!$I$33*2</f>
        <v>136.03372999999999</v>
      </c>
      <c r="AI156" s="634"/>
      <c r="AJ156" s="634"/>
      <c r="AK156" s="635"/>
      <c r="AL156" s="635"/>
      <c r="AM156" s="635"/>
      <c r="AN156" s="635"/>
      <c r="AO156" s="635"/>
      <c r="AP156" s="635"/>
      <c r="AQ156" s="635"/>
      <c r="AR156" s="635"/>
      <c r="AS156" s="635"/>
    </row>
    <row r="157" spans="1:45" x14ac:dyDescent="0.2">
      <c r="A157" s="630" t="s">
        <v>186</v>
      </c>
      <c r="B157" s="630">
        <v>1500</v>
      </c>
      <c r="C157" s="630">
        <v>1500</v>
      </c>
      <c r="D157" s="630" t="str">
        <f t="shared" si="66"/>
        <v>KVX15001500</v>
      </c>
      <c r="E157" s="1046">
        <f t="shared" si="63"/>
        <v>1019.4095826500001</v>
      </c>
      <c r="F157" s="631">
        <v>13</v>
      </c>
      <c r="G157" s="632">
        <f>F157*CCBASE!$B$51</f>
        <v>468</v>
      </c>
      <c r="H157" s="632">
        <f>CCBASE!$I$12*B157/1000</f>
        <v>179.47580595000002</v>
      </c>
      <c r="I157" s="632"/>
      <c r="J157" s="632"/>
      <c r="K157" s="632"/>
      <c r="L157" s="631"/>
      <c r="M157" s="632">
        <f>CCBASE!$I$15*B157/1000</f>
        <v>119.76882750000001</v>
      </c>
      <c r="N157" s="632"/>
      <c r="O157" s="632"/>
      <c r="P157" s="632"/>
      <c r="Q157" s="632">
        <f>CCBASE!$I$51</f>
        <v>2.9</v>
      </c>
      <c r="R157" s="632">
        <f>CCBASE!$I$4</f>
        <v>8.3986041999999994</v>
      </c>
      <c r="S157" s="632">
        <f>CCBASE!$I$8</f>
        <v>16.25526</v>
      </c>
      <c r="T157" s="631"/>
      <c r="U157" s="632"/>
      <c r="V157" s="632"/>
      <c r="W157" s="632">
        <f>CCBASE!$I$41*B157/1000</f>
        <v>88.577354999999997</v>
      </c>
      <c r="X157" s="632"/>
      <c r="Y157" s="632"/>
      <c r="Z157" s="632"/>
      <c r="AA157" s="632"/>
      <c r="AB157" s="632"/>
      <c r="AC157" s="632"/>
      <c r="AD157" s="632">
        <f>CCBASE!$I$33*2</f>
        <v>136.03372999999999</v>
      </c>
      <c r="AI157" s="634"/>
      <c r="AJ157" s="634"/>
      <c r="AK157" s="635"/>
      <c r="AL157" s="635"/>
      <c r="AM157" s="635"/>
      <c r="AN157" s="635"/>
      <c r="AO157" s="635"/>
      <c r="AP157" s="635"/>
      <c r="AQ157" s="635"/>
      <c r="AR157" s="635"/>
      <c r="AS157" s="635"/>
    </row>
    <row r="158" spans="1:45" x14ac:dyDescent="0.2">
      <c r="A158" s="630" t="s">
        <v>186</v>
      </c>
      <c r="B158" s="630">
        <v>1750</v>
      </c>
      <c r="C158" s="630">
        <v>1500</v>
      </c>
      <c r="D158" s="630" t="str">
        <f t="shared" si="66"/>
        <v>KVX17501500</v>
      </c>
      <c r="E158" s="1046">
        <f t="shared" si="63"/>
        <v>1084.046580725</v>
      </c>
      <c r="F158" s="631">
        <v>13</v>
      </c>
      <c r="G158" s="632">
        <f>F158*CCBASE!$B$51</f>
        <v>468</v>
      </c>
      <c r="H158" s="632">
        <f>CCBASE!$I$12*B158/1000</f>
        <v>209.38844027500002</v>
      </c>
      <c r="I158" s="632"/>
      <c r="J158" s="632"/>
      <c r="K158" s="632"/>
      <c r="L158" s="631"/>
      <c r="M158" s="632">
        <f>CCBASE!$I$15*B158/1000</f>
        <v>139.73029875</v>
      </c>
      <c r="N158" s="632"/>
      <c r="O158" s="632"/>
      <c r="P158" s="632"/>
      <c r="Q158" s="632">
        <f>CCBASE!$I$51</f>
        <v>2.9</v>
      </c>
      <c r="R158" s="632">
        <f>CCBASE!$I$4</f>
        <v>8.3986041999999994</v>
      </c>
      <c r="S158" s="632">
        <f>CCBASE!$I$8</f>
        <v>16.25526</v>
      </c>
      <c r="T158" s="631"/>
      <c r="U158" s="632"/>
      <c r="V158" s="632"/>
      <c r="W158" s="632">
        <f>CCBASE!$I$41*B158/1000</f>
        <v>103.3402475</v>
      </c>
      <c r="X158" s="632"/>
      <c r="Y158" s="632"/>
      <c r="Z158" s="632"/>
      <c r="AA158" s="632"/>
      <c r="AB158" s="632"/>
      <c r="AC158" s="632"/>
      <c r="AD158" s="632">
        <f>CCBASE!$I$33*2</f>
        <v>136.03372999999999</v>
      </c>
      <c r="AI158" s="634"/>
      <c r="AJ158" s="634"/>
      <c r="AK158" s="635"/>
      <c r="AL158" s="635"/>
      <c r="AM158" s="635"/>
      <c r="AN158" s="635"/>
      <c r="AO158" s="635"/>
      <c r="AP158" s="635"/>
      <c r="AQ158" s="635"/>
      <c r="AR158" s="635"/>
      <c r="AS158" s="635"/>
    </row>
    <row r="159" spans="1:45" x14ac:dyDescent="0.2">
      <c r="A159" s="630" t="s">
        <v>186</v>
      </c>
      <c r="B159" s="630">
        <v>2000</v>
      </c>
      <c r="C159" s="630">
        <v>1500</v>
      </c>
      <c r="D159" s="630" t="str">
        <f t="shared" si="66"/>
        <v>KVX20001500</v>
      </c>
      <c r="E159" s="1046">
        <f t="shared" si="63"/>
        <v>1148.6835787999999</v>
      </c>
      <c r="F159" s="631">
        <v>13</v>
      </c>
      <c r="G159" s="632">
        <f>F159*CCBASE!$B$51</f>
        <v>468</v>
      </c>
      <c r="H159" s="632">
        <f>CCBASE!$I$12*B159/1000</f>
        <v>239.30107460000002</v>
      </c>
      <c r="I159" s="632"/>
      <c r="J159" s="632"/>
      <c r="K159" s="632"/>
      <c r="L159" s="631"/>
      <c r="M159" s="632">
        <f>CCBASE!$I$15*B159/1000</f>
        <v>159.69177000000002</v>
      </c>
      <c r="N159" s="632"/>
      <c r="O159" s="632"/>
      <c r="P159" s="632"/>
      <c r="Q159" s="632">
        <f>CCBASE!$I$51</f>
        <v>2.9</v>
      </c>
      <c r="R159" s="632">
        <f>CCBASE!$I$4</f>
        <v>8.3986041999999994</v>
      </c>
      <c r="S159" s="632">
        <f>CCBASE!$I$8</f>
        <v>16.25526</v>
      </c>
      <c r="T159" s="631"/>
      <c r="U159" s="632"/>
      <c r="V159" s="632"/>
      <c r="W159" s="632">
        <f>CCBASE!$I$41*B159/1000</f>
        <v>118.10314</v>
      </c>
      <c r="X159" s="632"/>
      <c r="Y159" s="632"/>
      <c r="Z159" s="632"/>
      <c r="AA159" s="632"/>
      <c r="AB159" s="632"/>
      <c r="AC159" s="632"/>
      <c r="AD159" s="632">
        <f>CCBASE!$I$33*2</f>
        <v>136.03372999999999</v>
      </c>
      <c r="AI159" s="634"/>
      <c r="AJ159" s="634"/>
      <c r="AK159" s="635"/>
      <c r="AL159" s="635"/>
      <c r="AM159" s="635"/>
      <c r="AN159" s="635"/>
      <c r="AO159" s="635"/>
      <c r="AP159" s="635"/>
      <c r="AQ159" s="635"/>
      <c r="AR159" s="635"/>
      <c r="AS159" s="635"/>
    </row>
    <row r="160" spans="1:45" x14ac:dyDescent="0.2">
      <c r="A160" s="630" t="s">
        <v>186</v>
      </c>
      <c r="B160" s="630">
        <v>2250</v>
      </c>
      <c r="C160" s="630">
        <v>1500</v>
      </c>
      <c r="D160" s="630" t="str">
        <f t="shared" si="66"/>
        <v>KVX22501500</v>
      </c>
      <c r="E160" s="1046">
        <f t="shared" si="63"/>
        <v>1249.3205768749999</v>
      </c>
      <c r="F160" s="631">
        <v>14</v>
      </c>
      <c r="G160" s="632">
        <f>F160*CCBASE!$B$51</f>
        <v>504</v>
      </c>
      <c r="H160" s="632">
        <f>CCBASE!$I$12*B160/1000</f>
        <v>269.21370892500005</v>
      </c>
      <c r="I160" s="632"/>
      <c r="J160" s="632"/>
      <c r="K160" s="632"/>
      <c r="L160" s="631"/>
      <c r="M160" s="632">
        <f>CCBASE!$I$15*B160/1000</f>
        <v>179.65324125000001</v>
      </c>
      <c r="N160" s="632"/>
      <c r="O160" s="632"/>
      <c r="P160" s="632"/>
      <c r="Q160" s="632">
        <f>CCBASE!$I$51</f>
        <v>2.9</v>
      </c>
      <c r="R160" s="632">
        <f>CCBASE!$I$4</f>
        <v>8.3986041999999994</v>
      </c>
      <c r="S160" s="632">
        <f>CCBASE!$I$8</f>
        <v>16.25526</v>
      </c>
      <c r="T160" s="631"/>
      <c r="U160" s="632"/>
      <c r="V160" s="632"/>
      <c r="W160" s="632">
        <f>CCBASE!$I$41*B160/1000</f>
        <v>132.86603249999999</v>
      </c>
      <c r="X160" s="632"/>
      <c r="Y160" s="632"/>
      <c r="Z160" s="632"/>
      <c r="AA160" s="632"/>
      <c r="AB160" s="632"/>
      <c r="AC160" s="632"/>
      <c r="AD160" s="632">
        <f>CCBASE!$I$33*2</f>
        <v>136.03372999999999</v>
      </c>
      <c r="AI160" s="634"/>
      <c r="AJ160" s="634"/>
      <c r="AK160" s="635"/>
      <c r="AL160" s="635"/>
      <c r="AM160" s="635"/>
      <c r="AN160" s="635"/>
      <c r="AO160" s="635"/>
      <c r="AP160" s="635"/>
      <c r="AQ160" s="635"/>
      <c r="AR160" s="635"/>
      <c r="AS160" s="635"/>
    </row>
    <row r="161" spans="1:45" x14ac:dyDescent="0.2">
      <c r="A161" s="630" t="s">
        <v>186</v>
      </c>
      <c r="B161" s="630">
        <v>2500</v>
      </c>
      <c r="C161" s="630">
        <v>1500</v>
      </c>
      <c r="D161" s="630" t="str">
        <f t="shared" si="66"/>
        <v>KVX25001500</v>
      </c>
      <c r="E161" s="1046">
        <f t="shared" si="63"/>
        <v>1313.95757495</v>
      </c>
      <c r="F161" s="631">
        <v>14</v>
      </c>
      <c r="G161" s="632">
        <f>F161*CCBASE!$B$51</f>
        <v>504</v>
      </c>
      <c r="H161" s="632">
        <f>CCBASE!$I$12*B161/1000</f>
        <v>299.12634325000005</v>
      </c>
      <c r="I161" s="632"/>
      <c r="J161" s="632"/>
      <c r="K161" s="632"/>
      <c r="L161" s="631"/>
      <c r="M161" s="632">
        <f>CCBASE!$I$15*B161/1000</f>
        <v>199.61471250000002</v>
      </c>
      <c r="N161" s="632"/>
      <c r="O161" s="632"/>
      <c r="P161" s="632"/>
      <c r="Q161" s="632">
        <f>CCBASE!$I$51</f>
        <v>2.9</v>
      </c>
      <c r="R161" s="632">
        <f>CCBASE!$I$4</f>
        <v>8.3986041999999994</v>
      </c>
      <c r="S161" s="632">
        <f>CCBASE!$I$8</f>
        <v>16.25526</v>
      </c>
      <c r="T161" s="631"/>
      <c r="U161" s="632"/>
      <c r="V161" s="632"/>
      <c r="W161" s="632">
        <f>CCBASE!$I$41*B161/1000</f>
        <v>147.62892499999998</v>
      </c>
      <c r="X161" s="632"/>
      <c r="Y161" s="632"/>
      <c r="Z161" s="632"/>
      <c r="AA161" s="632"/>
      <c r="AB161" s="632"/>
      <c r="AC161" s="632"/>
      <c r="AD161" s="632">
        <f>CCBASE!$I$33*2</f>
        <v>136.03372999999999</v>
      </c>
      <c r="AI161" s="634"/>
      <c r="AJ161" s="634"/>
      <c r="AK161" s="635"/>
      <c r="AL161" s="635"/>
      <c r="AM161" s="635"/>
      <c r="AN161" s="635"/>
      <c r="AO161" s="635"/>
      <c r="AP161" s="635"/>
      <c r="AQ161" s="635"/>
      <c r="AR161" s="635"/>
      <c r="AS161" s="635"/>
    </row>
    <row r="162" spans="1:45" x14ac:dyDescent="0.2">
      <c r="A162" s="630" t="s">
        <v>186</v>
      </c>
      <c r="B162" s="630">
        <v>2750</v>
      </c>
      <c r="C162" s="630">
        <v>1500</v>
      </c>
      <c r="D162" s="630" t="str">
        <f t="shared" si="66"/>
        <v>KVX27501500</v>
      </c>
      <c r="E162" s="1046">
        <f t="shared" si="63"/>
        <v>1378.594573025</v>
      </c>
      <c r="F162" s="631">
        <v>14</v>
      </c>
      <c r="G162" s="632">
        <f>F162*CCBASE!$B$51</f>
        <v>504</v>
      </c>
      <c r="H162" s="632">
        <f>CCBASE!$I$12*B162/1000</f>
        <v>329.03897757500005</v>
      </c>
      <c r="I162" s="632"/>
      <c r="J162" s="632"/>
      <c r="K162" s="632"/>
      <c r="L162" s="631"/>
      <c r="M162" s="632">
        <f>CCBASE!$I$15*B162/1000</f>
        <v>219.57618375000001</v>
      </c>
      <c r="N162" s="632"/>
      <c r="O162" s="632"/>
      <c r="P162" s="632"/>
      <c r="Q162" s="632">
        <f>CCBASE!$I$51</f>
        <v>2.9</v>
      </c>
      <c r="R162" s="632">
        <f>CCBASE!$I$4</f>
        <v>8.3986041999999994</v>
      </c>
      <c r="S162" s="632">
        <f>CCBASE!$I$8</f>
        <v>16.25526</v>
      </c>
      <c r="T162" s="631"/>
      <c r="U162" s="632"/>
      <c r="V162" s="632"/>
      <c r="W162" s="632">
        <f>CCBASE!$I$41*B162/1000</f>
        <v>162.3918175</v>
      </c>
      <c r="X162" s="632"/>
      <c r="Y162" s="632"/>
      <c r="Z162" s="632"/>
      <c r="AA162" s="632"/>
      <c r="AB162" s="632"/>
      <c r="AC162" s="632"/>
      <c r="AD162" s="632">
        <f>CCBASE!$I$33*2</f>
        <v>136.03372999999999</v>
      </c>
      <c r="AI162" s="634"/>
      <c r="AJ162" s="634"/>
      <c r="AN162" s="635"/>
      <c r="AO162" s="635"/>
      <c r="AP162" s="635"/>
      <c r="AQ162" s="635"/>
      <c r="AR162" s="635"/>
      <c r="AS162" s="635"/>
    </row>
    <row r="163" spans="1:45" x14ac:dyDescent="0.2">
      <c r="A163" s="630" t="s">
        <v>186</v>
      </c>
      <c r="B163" s="630">
        <v>3000</v>
      </c>
      <c r="C163" s="630">
        <v>1500</v>
      </c>
      <c r="D163" s="630" t="str">
        <f t="shared" si="66"/>
        <v>KVX30001500</v>
      </c>
      <c r="E163" s="1046">
        <f t="shared" si="63"/>
        <v>1443.2315711000001</v>
      </c>
      <c r="F163" s="631">
        <v>14</v>
      </c>
      <c r="G163" s="632">
        <f>F163*CCBASE!$B$51</f>
        <v>504</v>
      </c>
      <c r="H163" s="632">
        <f>CCBASE!$I$12*B163/1000</f>
        <v>358.95161190000005</v>
      </c>
      <c r="I163" s="632"/>
      <c r="J163" s="632"/>
      <c r="K163" s="632"/>
      <c r="L163" s="631"/>
      <c r="M163" s="632">
        <f>CCBASE!$I$15*B163/1000</f>
        <v>239.53765500000003</v>
      </c>
      <c r="N163" s="632"/>
      <c r="O163" s="632"/>
      <c r="P163" s="632"/>
      <c r="Q163" s="632">
        <f>CCBASE!$I$51</f>
        <v>2.9</v>
      </c>
      <c r="R163" s="632">
        <f>CCBASE!$I$4</f>
        <v>8.3986041999999994</v>
      </c>
      <c r="S163" s="632">
        <f>CCBASE!$I$8</f>
        <v>16.25526</v>
      </c>
      <c r="T163" s="631"/>
      <c r="U163" s="632"/>
      <c r="V163" s="632"/>
      <c r="W163" s="632">
        <f>CCBASE!$I$41*B163/1000</f>
        <v>177.15470999999999</v>
      </c>
      <c r="X163" s="632"/>
      <c r="Y163" s="632"/>
      <c r="Z163" s="632"/>
      <c r="AA163" s="632"/>
      <c r="AB163" s="632"/>
      <c r="AC163" s="632"/>
      <c r="AD163" s="632">
        <f>CCBASE!$I$33*2</f>
        <v>136.03372999999999</v>
      </c>
      <c r="AI163" s="634"/>
      <c r="AJ163" s="634"/>
      <c r="AN163" s="635"/>
      <c r="AO163" s="635"/>
      <c r="AP163" s="635"/>
      <c r="AQ163" s="635"/>
      <c r="AR163" s="635"/>
      <c r="AS163" s="635"/>
    </row>
    <row r="164" spans="1:45" x14ac:dyDescent="0.2">
      <c r="A164" s="630" t="s">
        <v>186</v>
      </c>
      <c r="B164" s="630">
        <v>1000</v>
      </c>
      <c r="C164" s="630">
        <v>1750</v>
      </c>
      <c r="D164" s="630" t="str">
        <f t="shared" si="66"/>
        <v>KVX10001750</v>
      </c>
      <c r="E164" s="1046">
        <f t="shared" si="63"/>
        <v>975.30453049999994</v>
      </c>
      <c r="F164" s="631">
        <v>13</v>
      </c>
      <c r="G164" s="632">
        <f>F164*CCBASE!$B$51</f>
        <v>468</v>
      </c>
      <c r="H164" s="632">
        <f>CCBASE!$I$12*B164/1000</f>
        <v>119.65053730000001</v>
      </c>
      <c r="I164" s="632"/>
      <c r="J164" s="632"/>
      <c r="K164" s="632"/>
      <c r="L164" s="637"/>
      <c r="M164" s="632">
        <f>CCBASE!$I$15*B164/1000</f>
        <v>79.84588500000001</v>
      </c>
      <c r="N164" s="632"/>
      <c r="O164" s="632"/>
      <c r="P164" s="632"/>
      <c r="Q164" s="632">
        <f>CCBASE!$I$51</f>
        <v>2.9</v>
      </c>
      <c r="R164" s="632">
        <f>CCBASE!$I$4</f>
        <v>8.3986041999999994</v>
      </c>
      <c r="S164" s="632">
        <f>CCBASE!$I$8</f>
        <v>16.25526</v>
      </c>
      <c r="T164" s="631"/>
      <c r="U164" s="631"/>
      <c r="V164" s="631"/>
      <c r="W164" s="632">
        <f>CCBASE!$I$42*B164/1000</f>
        <v>70.880589999999998</v>
      </c>
      <c r="X164" s="632"/>
      <c r="Y164" s="632"/>
      <c r="Z164" s="632"/>
      <c r="AA164" s="632"/>
      <c r="AB164" s="632"/>
      <c r="AC164" s="632"/>
      <c r="AD164" s="632">
        <f>CCBASE!$I$34*2</f>
        <v>209.37365399999999</v>
      </c>
      <c r="AI164" s="634"/>
      <c r="AJ164" s="634"/>
      <c r="AK164" s="635"/>
      <c r="AL164" s="635"/>
      <c r="AM164" s="635"/>
      <c r="AN164" s="635"/>
      <c r="AO164" s="635"/>
      <c r="AP164" s="635"/>
      <c r="AQ164" s="635"/>
      <c r="AR164" s="635"/>
      <c r="AS164" s="635"/>
    </row>
    <row r="165" spans="1:45" x14ac:dyDescent="0.2">
      <c r="A165" s="630" t="s">
        <v>186</v>
      </c>
      <c r="B165" s="630">
        <v>1250</v>
      </c>
      <c r="C165" s="630">
        <v>1750</v>
      </c>
      <c r="D165" s="630" t="str">
        <f t="shared" si="66"/>
        <v>KVX12501750</v>
      </c>
      <c r="E165" s="1046">
        <f t="shared" si="63"/>
        <v>1042.8987835749999</v>
      </c>
      <c r="F165" s="631">
        <v>13</v>
      </c>
      <c r="G165" s="632">
        <f>F165*CCBASE!$B$51</f>
        <v>468</v>
      </c>
      <c r="H165" s="632">
        <f>CCBASE!$I$12*B165/1000</f>
        <v>149.56317162500002</v>
      </c>
      <c r="I165" s="632"/>
      <c r="J165" s="632"/>
      <c r="K165" s="632"/>
      <c r="L165" s="637"/>
      <c r="M165" s="632">
        <f>CCBASE!$I$15*B165/1000</f>
        <v>99.807356250000012</v>
      </c>
      <c r="N165" s="632"/>
      <c r="O165" s="632"/>
      <c r="P165" s="632"/>
      <c r="Q165" s="632">
        <f>CCBASE!$I$51</f>
        <v>2.9</v>
      </c>
      <c r="R165" s="632">
        <f>CCBASE!$I$4</f>
        <v>8.3986041999999994</v>
      </c>
      <c r="S165" s="632">
        <f>CCBASE!$I$8</f>
        <v>16.25526</v>
      </c>
      <c r="T165" s="631"/>
      <c r="U165" s="631"/>
      <c r="V165" s="631"/>
      <c r="W165" s="632">
        <f>CCBASE!$I$42*B165/1000</f>
        <v>88.600737500000008</v>
      </c>
      <c r="X165" s="632"/>
      <c r="Y165" s="632"/>
      <c r="Z165" s="632"/>
      <c r="AA165" s="632"/>
      <c r="AB165" s="632"/>
      <c r="AC165" s="632"/>
      <c r="AD165" s="632">
        <f>CCBASE!$I$34*2</f>
        <v>209.37365399999999</v>
      </c>
      <c r="AI165" s="634"/>
      <c r="AJ165" s="634"/>
      <c r="AK165" s="635"/>
      <c r="AL165" s="635"/>
      <c r="AM165" s="635"/>
      <c r="AN165" s="635"/>
      <c r="AO165" s="635"/>
      <c r="AP165" s="635"/>
      <c r="AQ165" s="635"/>
      <c r="AR165" s="635"/>
      <c r="AS165" s="635"/>
    </row>
    <row r="166" spans="1:45" x14ac:dyDescent="0.2">
      <c r="A166" s="630" t="s">
        <v>186</v>
      </c>
      <c r="B166" s="630">
        <v>1500</v>
      </c>
      <c r="C166" s="630">
        <v>1750</v>
      </c>
      <c r="D166" s="630" t="str">
        <f t="shared" si="66"/>
        <v>KVX15001750</v>
      </c>
      <c r="E166" s="1046">
        <f t="shared" si="63"/>
        <v>1110.49303665</v>
      </c>
      <c r="F166" s="631">
        <v>13</v>
      </c>
      <c r="G166" s="632">
        <f>F166*CCBASE!$B$51</f>
        <v>468</v>
      </c>
      <c r="H166" s="632">
        <f>CCBASE!$I$12*B166/1000</f>
        <v>179.47580595000002</v>
      </c>
      <c r="I166" s="632"/>
      <c r="J166" s="632"/>
      <c r="K166" s="632"/>
      <c r="L166" s="637"/>
      <c r="M166" s="632">
        <f>CCBASE!$I$15*B166/1000</f>
        <v>119.76882750000001</v>
      </c>
      <c r="N166" s="632"/>
      <c r="O166" s="632"/>
      <c r="P166" s="632"/>
      <c r="Q166" s="632">
        <f>CCBASE!$I$51</f>
        <v>2.9</v>
      </c>
      <c r="R166" s="632">
        <f>CCBASE!$I$4</f>
        <v>8.3986041999999994</v>
      </c>
      <c r="S166" s="632">
        <f>CCBASE!$I$8</f>
        <v>16.25526</v>
      </c>
      <c r="T166" s="631"/>
      <c r="U166" s="631"/>
      <c r="V166" s="631"/>
      <c r="W166" s="632">
        <f>CCBASE!$I$42*B166/1000</f>
        <v>106.32088499999999</v>
      </c>
      <c r="X166" s="632"/>
      <c r="Y166" s="632"/>
      <c r="Z166" s="632"/>
      <c r="AA166" s="632"/>
      <c r="AB166" s="632"/>
      <c r="AC166" s="632"/>
      <c r="AD166" s="632">
        <f>CCBASE!$I$34*2</f>
        <v>209.37365399999999</v>
      </c>
      <c r="AI166" s="634"/>
      <c r="AJ166" s="634"/>
      <c r="AK166" s="635"/>
      <c r="AL166" s="635"/>
      <c r="AM166" s="635"/>
      <c r="AN166" s="635"/>
      <c r="AO166" s="635"/>
      <c r="AP166" s="635"/>
      <c r="AQ166" s="635"/>
      <c r="AR166" s="635"/>
      <c r="AS166" s="635"/>
    </row>
    <row r="167" spans="1:45" x14ac:dyDescent="0.2">
      <c r="A167" s="630" t="s">
        <v>186</v>
      </c>
      <c r="B167" s="630">
        <v>1750</v>
      </c>
      <c r="C167" s="630">
        <v>1750</v>
      </c>
      <c r="D167" s="630" t="str">
        <f t="shared" si="66"/>
        <v>KVX17501750</v>
      </c>
      <c r="E167" s="1046">
        <f t="shared" si="63"/>
        <v>1178.0872897250001</v>
      </c>
      <c r="F167" s="631">
        <v>13</v>
      </c>
      <c r="G167" s="632">
        <f>F167*CCBASE!$B$51</f>
        <v>468</v>
      </c>
      <c r="H167" s="632">
        <f>CCBASE!$I$12*B167/1000</f>
        <v>209.38844027500002</v>
      </c>
      <c r="I167" s="632"/>
      <c r="J167" s="632"/>
      <c r="K167" s="632"/>
      <c r="L167" s="637"/>
      <c r="M167" s="632">
        <f>CCBASE!$I$15*B167/1000</f>
        <v>139.73029875</v>
      </c>
      <c r="N167" s="632"/>
      <c r="O167" s="632"/>
      <c r="P167" s="632"/>
      <c r="Q167" s="632">
        <f>CCBASE!$I$51</f>
        <v>2.9</v>
      </c>
      <c r="R167" s="632">
        <f>CCBASE!$I$4</f>
        <v>8.3986041999999994</v>
      </c>
      <c r="S167" s="632">
        <f>CCBASE!$I$8</f>
        <v>16.25526</v>
      </c>
      <c r="T167" s="631"/>
      <c r="U167" s="631"/>
      <c r="V167" s="631"/>
      <c r="W167" s="632">
        <f>CCBASE!$I$42*B167/1000</f>
        <v>124.0410325</v>
      </c>
      <c r="X167" s="632"/>
      <c r="Y167" s="632"/>
      <c r="Z167" s="632"/>
      <c r="AA167" s="632"/>
      <c r="AB167" s="632"/>
      <c r="AC167" s="632"/>
      <c r="AD167" s="632">
        <f>CCBASE!$I$34*2</f>
        <v>209.37365399999999</v>
      </c>
      <c r="AI167" s="634"/>
      <c r="AJ167" s="634"/>
    </row>
    <row r="168" spans="1:45" x14ac:dyDescent="0.2">
      <c r="A168" s="630" t="s">
        <v>186</v>
      </c>
      <c r="B168" s="630">
        <v>2000</v>
      </c>
      <c r="C168" s="630">
        <v>1750</v>
      </c>
      <c r="D168" s="630" t="str">
        <f t="shared" si="66"/>
        <v>KVX20001750</v>
      </c>
      <c r="E168" s="1046">
        <f t="shared" si="63"/>
        <v>1281.6815428</v>
      </c>
      <c r="F168" s="631">
        <v>14</v>
      </c>
      <c r="G168" s="632">
        <f>F168*CCBASE!$B$51</f>
        <v>504</v>
      </c>
      <c r="H168" s="632">
        <f>CCBASE!$I$12*B168/1000</f>
        <v>239.30107460000002</v>
      </c>
      <c r="I168" s="632"/>
      <c r="J168" s="632"/>
      <c r="K168" s="632"/>
      <c r="L168" s="637"/>
      <c r="M168" s="632">
        <f>CCBASE!$I$15*B168/1000</f>
        <v>159.69177000000002</v>
      </c>
      <c r="N168" s="632"/>
      <c r="O168" s="632"/>
      <c r="P168" s="632"/>
      <c r="Q168" s="632">
        <f>CCBASE!$I$51</f>
        <v>2.9</v>
      </c>
      <c r="R168" s="632">
        <f>CCBASE!$I$4</f>
        <v>8.3986041999999994</v>
      </c>
      <c r="S168" s="632">
        <f>CCBASE!$I$8</f>
        <v>16.25526</v>
      </c>
      <c r="T168" s="631"/>
      <c r="U168" s="631"/>
      <c r="V168" s="631"/>
      <c r="W168" s="632">
        <f>CCBASE!$I$42*B168/1000</f>
        <v>141.76118</v>
      </c>
      <c r="X168" s="632"/>
      <c r="Y168" s="632"/>
      <c r="Z168" s="632"/>
      <c r="AA168" s="632"/>
      <c r="AB168" s="632"/>
      <c r="AC168" s="632"/>
      <c r="AD168" s="632">
        <f>CCBASE!$I$34*2</f>
        <v>209.37365399999999</v>
      </c>
      <c r="AI168" s="634"/>
      <c r="AJ168" s="634"/>
      <c r="AR168" s="635"/>
      <c r="AS168" s="635"/>
    </row>
    <row r="169" spans="1:45" x14ac:dyDescent="0.2">
      <c r="A169" s="630" t="s">
        <v>186</v>
      </c>
      <c r="B169" s="630">
        <v>2250</v>
      </c>
      <c r="C169" s="630">
        <v>1750</v>
      </c>
      <c r="D169" s="630" t="str">
        <f t="shared" si="66"/>
        <v>KVX22501750</v>
      </c>
      <c r="E169" s="1046">
        <f t="shared" si="63"/>
        <v>1349.2757958750001</v>
      </c>
      <c r="F169" s="631">
        <v>14</v>
      </c>
      <c r="G169" s="632">
        <f>F169*CCBASE!$B$51</f>
        <v>504</v>
      </c>
      <c r="H169" s="632">
        <f>CCBASE!$I$12*B169/1000</f>
        <v>269.21370892500005</v>
      </c>
      <c r="I169" s="632"/>
      <c r="J169" s="632"/>
      <c r="K169" s="632"/>
      <c r="L169" s="637"/>
      <c r="M169" s="632">
        <f>CCBASE!$I$15*B169/1000</f>
        <v>179.65324125000001</v>
      </c>
      <c r="N169" s="632"/>
      <c r="O169" s="632"/>
      <c r="P169" s="632"/>
      <c r="Q169" s="632">
        <f>CCBASE!$I$51</f>
        <v>2.9</v>
      </c>
      <c r="R169" s="632">
        <f>CCBASE!$I$4</f>
        <v>8.3986041999999994</v>
      </c>
      <c r="S169" s="632">
        <f>CCBASE!$I$8</f>
        <v>16.25526</v>
      </c>
      <c r="T169" s="631"/>
      <c r="U169" s="631"/>
      <c r="V169" s="631"/>
      <c r="W169" s="632">
        <f>CCBASE!$I$42*B169/1000</f>
        <v>159.48132749999999</v>
      </c>
      <c r="X169" s="632"/>
      <c r="Y169" s="632"/>
      <c r="Z169" s="632"/>
      <c r="AA169" s="632"/>
      <c r="AB169" s="632"/>
      <c r="AC169" s="632"/>
      <c r="AD169" s="632">
        <f>CCBASE!$I$34*2</f>
        <v>209.37365399999999</v>
      </c>
      <c r="AI169" s="634"/>
      <c r="AJ169" s="634"/>
      <c r="AR169" s="635"/>
      <c r="AS169" s="635"/>
    </row>
    <row r="170" spans="1:45" x14ac:dyDescent="0.2">
      <c r="A170" s="630" t="s">
        <v>186</v>
      </c>
      <c r="B170" s="630">
        <v>2500</v>
      </c>
      <c r="C170" s="630">
        <v>1750</v>
      </c>
      <c r="D170" s="630" t="str">
        <f t="shared" si="66"/>
        <v>KVX25001750</v>
      </c>
      <c r="E170" s="1046">
        <f t="shared" si="63"/>
        <v>1416.87004895</v>
      </c>
      <c r="F170" s="631">
        <v>14</v>
      </c>
      <c r="G170" s="632">
        <f>F170*CCBASE!$B$51</f>
        <v>504</v>
      </c>
      <c r="H170" s="632">
        <f>CCBASE!$I$12*B170/1000</f>
        <v>299.12634325000005</v>
      </c>
      <c r="I170" s="632"/>
      <c r="J170" s="632"/>
      <c r="K170" s="632"/>
      <c r="L170" s="637"/>
      <c r="M170" s="632">
        <f>CCBASE!$I$15*B170/1000</f>
        <v>199.61471250000002</v>
      </c>
      <c r="N170" s="632"/>
      <c r="O170" s="632"/>
      <c r="P170" s="632"/>
      <c r="Q170" s="632">
        <f>CCBASE!$I$51</f>
        <v>2.9</v>
      </c>
      <c r="R170" s="632">
        <f>CCBASE!$I$4</f>
        <v>8.3986041999999994</v>
      </c>
      <c r="S170" s="632">
        <f>CCBASE!$I$8</f>
        <v>16.25526</v>
      </c>
      <c r="T170" s="631"/>
      <c r="U170" s="631"/>
      <c r="V170" s="631"/>
      <c r="W170" s="632">
        <f>CCBASE!$I$42*B170/1000</f>
        <v>177.20147500000002</v>
      </c>
      <c r="X170" s="632"/>
      <c r="Y170" s="632"/>
      <c r="Z170" s="632"/>
      <c r="AA170" s="632"/>
      <c r="AB170" s="632"/>
      <c r="AC170" s="632"/>
      <c r="AD170" s="632">
        <f>CCBASE!$I$34*2</f>
        <v>209.37365399999999</v>
      </c>
      <c r="AI170" s="634"/>
      <c r="AJ170" s="634"/>
      <c r="AR170" s="635"/>
      <c r="AS170" s="635"/>
    </row>
    <row r="171" spans="1:45" x14ac:dyDescent="0.2">
      <c r="A171" s="630" t="s">
        <v>186</v>
      </c>
      <c r="B171" s="630">
        <v>2750</v>
      </c>
      <c r="C171" s="630">
        <v>1750</v>
      </c>
      <c r="D171" s="630" t="str">
        <f t="shared" si="66"/>
        <v>KVX27501750</v>
      </c>
      <c r="E171" s="1046">
        <f t="shared" si="63"/>
        <v>1484.4643020249998</v>
      </c>
      <c r="F171" s="631">
        <v>14</v>
      </c>
      <c r="G171" s="632">
        <f>F171*CCBASE!$B$51</f>
        <v>504</v>
      </c>
      <c r="H171" s="632">
        <f>CCBASE!$I$12*B171/1000</f>
        <v>329.03897757500005</v>
      </c>
      <c r="I171" s="632"/>
      <c r="J171" s="632"/>
      <c r="K171" s="632"/>
      <c r="L171" s="637"/>
      <c r="M171" s="632">
        <f>CCBASE!$I$15*B171/1000</f>
        <v>219.57618375000001</v>
      </c>
      <c r="N171" s="632"/>
      <c r="O171" s="632"/>
      <c r="P171" s="632"/>
      <c r="Q171" s="632">
        <f>CCBASE!$I$51</f>
        <v>2.9</v>
      </c>
      <c r="R171" s="632">
        <f>CCBASE!$I$4</f>
        <v>8.3986041999999994</v>
      </c>
      <c r="S171" s="632">
        <f>CCBASE!$I$8</f>
        <v>16.25526</v>
      </c>
      <c r="T171" s="631"/>
      <c r="U171" s="631"/>
      <c r="V171" s="631"/>
      <c r="W171" s="632">
        <f>CCBASE!$I$42*B171/1000</f>
        <v>194.92162249999998</v>
      </c>
      <c r="X171" s="632"/>
      <c r="Y171" s="632"/>
      <c r="Z171" s="632"/>
      <c r="AA171" s="632"/>
      <c r="AB171" s="632"/>
      <c r="AC171" s="632"/>
      <c r="AD171" s="632">
        <f>CCBASE!$I$34*2</f>
        <v>209.37365399999999</v>
      </c>
      <c r="AI171" s="634"/>
      <c r="AJ171" s="634"/>
      <c r="AK171" s="635"/>
      <c r="AL171" s="635"/>
      <c r="AM171" s="635"/>
      <c r="AN171" s="635"/>
      <c r="AO171" s="635"/>
      <c r="AP171" s="635"/>
      <c r="AQ171" s="635"/>
      <c r="AR171" s="635"/>
      <c r="AS171" s="635"/>
    </row>
    <row r="172" spans="1:45" x14ac:dyDescent="0.2">
      <c r="A172" s="630" t="s">
        <v>186</v>
      </c>
      <c r="B172" s="630">
        <v>3000</v>
      </c>
      <c r="C172" s="630">
        <v>1750</v>
      </c>
      <c r="D172" s="630" t="str">
        <f t="shared" si="66"/>
        <v>KVX30001750</v>
      </c>
      <c r="E172" s="1046">
        <f t="shared" si="63"/>
        <v>1552.0585550999999</v>
      </c>
      <c r="F172" s="631">
        <v>14</v>
      </c>
      <c r="G172" s="632">
        <f>F172*CCBASE!$B$51</f>
        <v>504</v>
      </c>
      <c r="H172" s="632">
        <f>CCBASE!$I$12*B172/1000</f>
        <v>358.95161190000005</v>
      </c>
      <c r="I172" s="632"/>
      <c r="J172" s="632"/>
      <c r="K172" s="632"/>
      <c r="L172" s="637"/>
      <c r="M172" s="632">
        <f>CCBASE!$I$15*B172/1000</f>
        <v>239.53765500000003</v>
      </c>
      <c r="N172" s="632"/>
      <c r="O172" s="632"/>
      <c r="P172" s="632"/>
      <c r="Q172" s="632">
        <f>CCBASE!$I$51</f>
        <v>2.9</v>
      </c>
      <c r="R172" s="632">
        <f>CCBASE!$I$4</f>
        <v>8.3986041999999994</v>
      </c>
      <c r="S172" s="632">
        <f>CCBASE!$I$8</f>
        <v>16.25526</v>
      </c>
      <c r="T172" s="631"/>
      <c r="U172" s="631"/>
      <c r="V172" s="631"/>
      <c r="W172" s="632">
        <f>CCBASE!$I$42*B172/1000</f>
        <v>212.64176999999998</v>
      </c>
      <c r="X172" s="632"/>
      <c r="Y172" s="632"/>
      <c r="Z172" s="632"/>
      <c r="AA172" s="632"/>
      <c r="AB172" s="632"/>
      <c r="AC172" s="632"/>
      <c r="AD172" s="632">
        <f>CCBASE!$I$34*2</f>
        <v>209.37365399999999</v>
      </c>
      <c r="AI172" s="634"/>
      <c r="AJ172" s="634"/>
      <c r="AK172" s="635"/>
      <c r="AL172" s="635"/>
      <c r="AM172" s="635"/>
      <c r="AN172" s="635"/>
      <c r="AO172" s="635"/>
      <c r="AP172" s="635"/>
      <c r="AQ172" s="635"/>
      <c r="AR172" s="635"/>
      <c r="AS172" s="635"/>
    </row>
    <row r="173" spans="1:45" x14ac:dyDescent="0.2">
      <c r="A173" s="630" t="s">
        <v>186</v>
      </c>
      <c r="B173" s="630">
        <v>1000</v>
      </c>
      <c r="C173" s="630">
        <v>2000</v>
      </c>
      <c r="D173" s="630" t="str">
        <f t="shared" si="66"/>
        <v>KVX10002000</v>
      </c>
      <c r="E173" s="1046">
        <f t="shared" si="63"/>
        <v>1067.5708864999999</v>
      </c>
      <c r="F173" s="631">
        <v>13</v>
      </c>
      <c r="G173" s="632">
        <f>F173*CCBASE!$B$51</f>
        <v>468</v>
      </c>
      <c r="H173" s="632">
        <f>CCBASE!$I$12*B173/1000</f>
        <v>119.65053730000001</v>
      </c>
      <c r="I173" s="632"/>
      <c r="J173" s="632"/>
      <c r="K173" s="632"/>
      <c r="L173" s="637"/>
      <c r="M173" s="632">
        <f>CCBASE!$I$15*B173/1000</f>
        <v>79.84588500000001</v>
      </c>
      <c r="N173" s="632"/>
      <c r="O173" s="632"/>
      <c r="P173" s="632"/>
      <c r="Q173" s="632">
        <f>CCBASE!$I$51</f>
        <v>2.9</v>
      </c>
      <c r="R173" s="632">
        <f>CCBASE!$I$4</f>
        <v>8.3986041999999994</v>
      </c>
      <c r="S173" s="632">
        <f>CCBASE!$I$8</f>
        <v>16.25526</v>
      </c>
      <c r="T173" s="631"/>
      <c r="U173" s="631"/>
      <c r="V173" s="631"/>
      <c r="W173" s="632">
        <f>CCBASE!$I$43*B173/1000</f>
        <v>88.624119999999991</v>
      </c>
      <c r="X173" s="632"/>
      <c r="Y173" s="632"/>
      <c r="Z173" s="632"/>
      <c r="AA173" s="632"/>
      <c r="AB173" s="632"/>
      <c r="AC173" s="632"/>
      <c r="AD173" s="632">
        <f>CCBASE!$I$35*2</f>
        <v>283.89648</v>
      </c>
      <c r="AI173" s="634"/>
      <c r="AJ173" s="634"/>
      <c r="AK173" s="635"/>
      <c r="AL173" s="635"/>
      <c r="AM173" s="635"/>
      <c r="AN173" s="635"/>
      <c r="AO173" s="635"/>
      <c r="AP173" s="635"/>
      <c r="AQ173" s="635"/>
      <c r="AR173" s="635"/>
      <c r="AS173" s="635"/>
    </row>
    <row r="174" spans="1:45" x14ac:dyDescent="0.2">
      <c r="A174" s="630" t="s">
        <v>186</v>
      </c>
      <c r="B174" s="630">
        <v>1250</v>
      </c>
      <c r="C174" s="630">
        <v>2000</v>
      </c>
      <c r="D174" s="630" t="str">
        <f t="shared" si="66"/>
        <v>KVX12502000</v>
      </c>
      <c r="E174" s="1046">
        <f t="shared" si="63"/>
        <v>1139.6010220749999</v>
      </c>
      <c r="F174" s="631">
        <v>13</v>
      </c>
      <c r="G174" s="632">
        <f>F174*CCBASE!$B$51</f>
        <v>468</v>
      </c>
      <c r="H174" s="632">
        <f>CCBASE!$I$12*B174/1000</f>
        <v>149.56317162500002</v>
      </c>
      <c r="I174" s="632"/>
      <c r="J174" s="632"/>
      <c r="K174" s="632"/>
      <c r="L174" s="637"/>
      <c r="M174" s="632">
        <f>CCBASE!$I$15*B174/1000</f>
        <v>99.807356250000012</v>
      </c>
      <c r="N174" s="632"/>
      <c r="O174" s="632"/>
      <c r="P174" s="632"/>
      <c r="Q174" s="632">
        <f>CCBASE!$I$51</f>
        <v>2.9</v>
      </c>
      <c r="R174" s="632">
        <f>CCBASE!$I$4</f>
        <v>8.3986041999999994</v>
      </c>
      <c r="S174" s="632">
        <f>CCBASE!$I$8</f>
        <v>16.25526</v>
      </c>
      <c r="T174" s="631"/>
      <c r="U174" s="631"/>
      <c r="V174" s="631"/>
      <c r="W174" s="632">
        <f>CCBASE!$I$43*B174/1000</f>
        <v>110.78014999999999</v>
      </c>
      <c r="X174" s="632"/>
      <c r="Y174" s="632"/>
      <c r="Z174" s="632"/>
      <c r="AA174" s="632"/>
      <c r="AB174" s="632"/>
      <c r="AC174" s="632"/>
      <c r="AD174" s="632">
        <f>CCBASE!$I$35*2</f>
        <v>283.89648</v>
      </c>
      <c r="AI174" s="634"/>
      <c r="AJ174" s="634"/>
      <c r="AK174" s="635"/>
      <c r="AL174" s="635"/>
      <c r="AM174" s="635"/>
      <c r="AN174" s="635"/>
      <c r="AO174" s="635"/>
      <c r="AP174" s="635"/>
      <c r="AQ174" s="635"/>
      <c r="AR174" s="635"/>
      <c r="AS174" s="635"/>
    </row>
    <row r="175" spans="1:45" x14ac:dyDescent="0.2">
      <c r="A175" s="630" t="s">
        <v>186</v>
      </c>
      <c r="B175" s="630">
        <v>1500</v>
      </c>
      <c r="C175" s="630">
        <v>2000</v>
      </c>
      <c r="D175" s="630" t="str">
        <f t="shared" si="66"/>
        <v>KVX15002000</v>
      </c>
      <c r="E175" s="1046">
        <f t="shared" si="63"/>
        <v>1211.6311576500002</v>
      </c>
      <c r="F175" s="631">
        <v>13</v>
      </c>
      <c r="G175" s="632">
        <f>F175*CCBASE!$B$51</f>
        <v>468</v>
      </c>
      <c r="H175" s="632">
        <f>CCBASE!$I$12*B175/1000</f>
        <v>179.47580595000002</v>
      </c>
      <c r="I175" s="632"/>
      <c r="J175" s="632"/>
      <c r="K175" s="632"/>
      <c r="L175" s="637"/>
      <c r="M175" s="632">
        <f>CCBASE!$I$15*B175/1000</f>
        <v>119.76882750000001</v>
      </c>
      <c r="N175" s="632"/>
      <c r="O175" s="632"/>
      <c r="P175" s="632"/>
      <c r="Q175" s="632">
        <f>CCBASE!$I$51</f>
        <v>2.9</v>
      </c>
      <c r="R175" s="632">
        <f>CCBASE!$I$4</f>
        <v>8.3986041999999994</v>
      </c>
      <c r="S175" s="632">
        <f>CCBASE!$I$8</f>
        <v>16.25526</v>
      </c>
      <c r="T175" s="631"/>
      <c r="U175" s="631"/>
      <c r="V175" s="631"/>
      <c r="W175" s="632">
        <f>CCBASE!$I$43*B175/1000</f>
        <v>132.93617999999998</v>
      </c>
      <c r="X175" s="632"/>
      <c r="Y175" s="632"/>
      <c r="Z175" s="632"/>
      <c r="AA175" s="632"/>
      <c r="AB175" s="632"/>
      <c r="AC175" s="632"/>
      <c r="AD175" s="632">
        <f>CCBASE!$I$35*2</f>
        <v>283.89648</v>
      </c>
      <c r="AI175" s="634"/>
      <c r="AJ175" s="634"/>
      <c r="AK175" s="635"/>
      <c r="AL175" s="635"/>
      <c r="AM175" s="635"/>
      <c r="AN175" s="635"/>
      <c r="AO175" s="635"/>
      <c r="AP175" s="635"/>
      <c r="AQ175" s="635"/>
      <c r="AR175" s="635"/>
      <c r="AS175" s="635"/>
    </row>
    <row r="176" spans="1:45" x14ac:dyDescent="0.2">
      <c r="A176" s="630" t="s">
        <v>186</v>
      </c>
      <c r="B176" s="630">
        <v>1750</v>
      </c>
      <c r="C176" s="630">
        <v>2000</v>
      </c>
      <c r="D176" s="630" t="str">
        <f t="shared" si="66"/>
        <v>KVX17502000</v>
      </c>
      <c r="E176" s="1046">
        <f t="shared" si="63"/>
        <v>1283.661293225</v>
      </c>
      <c r="F176" s="631">
        <v>13</v>
      </c>
      <c r="G176" s="632">
        <f>F176*CCBASE!$B$51</f>
        <v>468</v>
      </c>
      <c r="H176" s="632">
        <f>CCBASE!$I$12*B176/1000</f>
        <v>209.38844027500002</v>
      </c>
      <c r="I176" s="632"/>
      <c r="J176" s="632"/>
      <c r="K176" s="632"/>
      <c r="L176" s="637"/>
      <c r="M176" s="632">
        <f>CCBASE!$I$15*B176/1000</f>
        <v>139.73029875</v>
      </c>
      <c r="N176" s="632"/>
      <c r="O176" s="632"/>
      <c r="P176" s="632"/>
      <c r="Q176" s="632">
        <f>CCBASE!$I$51</f>
        <v>2.9</v>
      </c>
      <c r="R176" s="632">
        <f>CCBASE!$I$4</f>
        <v>8.3986041999999994</v>
      </c>
      <c r="S176" s="632">
        <f>CCBASE!$I$8</f>
        <v>16.25526</v>
      </c>
      <c r="T176" s="631"/>
      <c r="U176" s="631"/>
      <c r="V176" s="631"/>
      <c r="W176" s="632">
        <f>CCBASE!$I$43*B176/1000</f>
        <v>155.09220999999999</v>
      </c>
      <c r="X176" s="632"/>
      <c r="Y176" s="632"/>
      <c r="Z176" s="632"/>
      <c r="AA176" s="632"/>
      <c r="AB176" s="632"/>
      <c r="AC176" s="632"/>
      <c r="AD176" s="632">
        <f>CCBASE!$I$35*2</f>
        <v>283.89648</v>
      </c>
      <c r="AI176" s="634"/>
      <c r="AJ176" s="634"/>
    </row>
    <row r="177" spans="1:45" x14ac:dyDescent="0.2">
      <c r="A177" s="630" t="s">
        <v>186</v>
      </c>
      <c r="B177" s="630">
        <v>2000</v>
      </c>
      <c r="C177" s="630">
        <v>2000</v>
      </c>
      <c r="D177" s="630" t="str">
        <f t="shared" si="66"/>
        <v>KVX20002000</v>
      </c>
      <c r="E177" s="1046">
        <f t="shared" si="63"/>
        <v>1355.6914287999998</v>
      </c>
      <c r="F177" s="631">
        <v>13</v>
      </c>
      <c r="G177" s="632">
        <f>F177*CCBASE!$B$51</f>
        <v>468</v>
      </c>
      <c r="H177" s="632">
        <f>CCBASE!$I$12*B177/1000</f>
        <v>239.30107460000002</v>
      </c>
      <c r="I177" s="632"/>
      <c r="J177" s="632"/>
      <c r="K177" s="632"/>
      <c r="L177" s="637"/>
      <c r="M177" s="632">
        <f>CCBASE!$I$15*B177/1000</f>
        <v>159.69177000000002</v>
      </c>
      <c r="N177" s="632"/>
      <c r="O177" s="632"/>
      <c r="P177" s="632"/>
      <c r="Q177" s="632">
        <f>CCBASE!$I$51</f>
        <v>2.9</v>
      </c>
      <c r="R177" s="632">
        <f>CCBASE!$I$4</f>
        <v>8.3986041999999994</v>
      </c>
      <c r="S177" s="632">
        <f>CCBASE!$I$8</f>
        <v>16.25526</v>
      </c>
      <c r="T177" s="631"/>
      <c r="U177" s="631"/>
      <c r="V177" s="631"/>
      <c r="W177" s="632">
        <f>CCBASE!$I$43*B177/1000</f>
        <v>177.24823999999998</v>
      </c>
      <c r="X177" s="632"/>
      <c r="Y177" s="632"/>
      <c r="Z177" s="632"/>
      <c r="AA177" s="632"/>
      <c r="AB177" s="632"/>
      <c r="AC177" s="632"/>
      <c r="AD177" s="632">
        <f>CCBASE!$I$35*2</f>
        <v>283.89648</v>
      </c>
      <c r="AI177" s="634"/>
      <c r="AJ177" s="634"/>
    </row>
    <row r="178" spans="1:45" x14ac:dyDescent="0.2">
      <c r="A178" s="630" t="s">
        <v>186</v>
      </c>
      <c r="B178" s="630">
        <v>2250</v>
      </c>
      <c r="C178" s="630">
        <v>2000</v>
      </c>
      <c r="D178" s="630" t="str">
        <f t="shared" si="66"/>
        <v>KVX22502000</v>
      </c>
      <c r="E178" s="1046">
        <f t="shared" si="63"/>
        <v>1427.7215643750001</v>
      </c>
      <c r="F178" s="631">
        <v>13</v>
      </c>
      <c r="G178" s="632">
        <f>F178*CCBASE!$B$51</f>
        <v>468</v>
      </c>
      <c r="H178" s="632">
        <f>CCBASE!$I$12*B178/1000</f>
        <v>269.21370892500005</v>
      </c>
      <c r="I178" s="632"/>
      <c r="J178" s="632"/>
      <c r="K178" s="632"/>
      <c r="L178" s="637"/>
      <c r="M178" s="632">
        <f>CCBASE!$I$15*B178/1000</f>
        <v>179.65324125000001</v>
      </c>
      <c r="N178" s="632"/>
      <c r="O178" s="632"/>
      <c r="P178" s="632"/>
      <c r="Q178" s="632">
        <f>CCBASE!$I$51</f>
        <v>2.9</v>
      </c>
      <c r="R178" s="632">
        <f>CCBASE!$I$4</f>
        <v>8.3986041999999994</v>
      </c>
      <c r="S178" s="632">
        <f>CCBASE!$I$8</f>
        <v>16.25526</v>
      </c>
      <c r="T178" s="631"/>
      <c r="U178" s="631"/>
      <c r="V178" s="631"/>
      <c r="W178" s="632">
        <f>CCBASE!$I$43*B178/1000</f>
        <v>199.40427</v>
      </c>
      <c r="X178" s="632"/>
      <c r="Y178" s="632"/>
      <c r="Z178" s="632"/>
      <c r="AA178" s="632"/>
      <c r="AB178" s="632"/>
      <c r="AC178" s="632"/>
      <c r="AD178" s="632">
        <f>CCBASE!$I$35*2</f>
        <v>283.89648</v>
      </c>
      <c r="AI178" s="634"/>
      <c r="AJ178" s="634"/>
    </row>
    <row r="179" spans="1:45" x14ac:dyDescent="0.2">
      <c r="A179" s="630" t="s">
        <v>186</v>
      </c>
      <c r="B179" s="630">
        <v>2500</v>
      </c>
      <c r="C179" s="630">
        <v>2000</v>
      </c>
      <c r="D179" s="630" t="str">
        <f t="shared" si="66"/>
        <v>KVX25002000</v>
      </c>
      <c r="E179" s="1046">
        <f t="shared" si="63"/>
        <v>1535.7516999499999</v>
      </c>
      <c r="F179" s="631">
        <v>14</v>
      </c>
      <c r="G179" s="632">
        <f>F179*CCBASE!$B$51</f>
        <v>504</v>
      </c>
      <c r="H179" s="632">
        <f>CCBASE!$I$12*B179/1000</f>
        <v>299.12634325000005</v>
      </c>
      <c r="I179" s="632"/>
      <c r="J179" s="632"/>
      <c r="K179" s="632"/>
      <c r="L179" s="637"/>
      <c r="M179" s="632">
        <f>CCBASE!$I$15*B179/1000</f>
        <v>199.61471250000002</v>
      </c>
      <c r="N179" s="632"/>
      <c r="O179" s="632"/>
      <c r="P179" s="632"/>
      <c r="Q179" s="632">
        <f>CCBASE!$I$51</f>
        <v>2.9</v>
      </c>
      <c r="R179" s="632">
        <f>CCBASE!$I$4</f>
        <v>8.3986041999999994</v>
      </c>
      <c r="S179" s="632">
        <f>CCBASE!$I$8</f>
        <v>16.25526</v>
      </c>
      <c r="T179" s="631"/>
      <c r="U179" s="631"/>
      <c r="V179" s="631"/>
      <c r="W179" s="632">
        <f>CCBASE!$I$43*B179/1000</f>
        <v>221.56029999999998</v>
      </c>
      <c r="X179" s="632"/>
      <c r="Y179" s="632"/>
      <c r="Z179" s="632"/>
      <c r="AA179" s="632"/>
      <c r="AB179" s="632"/>
      <c r="AC179" s="632"/>
      <c r="AD179" s="632">
        <f>CCBASE!$I$35*2</f>
        <v>283.89648</v>
      </c>
      <c r="AI179" s="634"/>
      <c r="AJ179" s="634"/>
      <c r="AR179" s="635"/>
      <c r="AS179" s="635"/>
    </row>
    <row r="180" spans="1:45" x14ac:dyDescent="0.2">
      <c r="A180" s="630" t="s">
        <v>186</v>
      </c>
      <c r="B180" s="630">
        <v>2750</v>
      </c>
      <c r="C180" s="630">
        <v>2000</v>
      </c>
      <c r="D180" s="630" t="str">
        <f t="shared" si="66"/>
        <v>KVX27502000</v>
      </c>
      <c r="E180" s="1046">
        <f t="shared" si="63"/>
        <v>1607.7818355249997</v>
      </c>
      <c r="F180" s="631">
        <v>14</v>
      </c>
      <c r="G180" s="632">
        <f>F180*CCBASE!$B$51</f>
        <v>504</v>
      </c>
      <c r="H180" s="632">
        <f>CCBASE!$I$12*B180/1000</f>
        <v>329.03897757500005</v>
      </c>
      <c r="I180" s="632"/>
      <c r="J180" s="632"/>
      <c r="K180" s="632"/>
      <c r="L180" s="637"/>
      <c r="M180" s="632">
        <f>CCBASE!$I$15*B180/1000</f>
        <v>219.57618375000001</v>
      </c>
      <c r="N180" s="632"/>
      <c r="O180" s="632"/>
      <c r="P180" s="632"/>
      <c r="Q180" s="632">
        <f>CCBASE!$I$51</f>
        <v>2.9</v>
      </c>
      <c r="R180" s="632">
        <f>CCBASE!$I$4</f>
        <v>8.3986041999999994</v>
      </c>
      <c r="S180" s="632">
        <f>CCBASE!$I$8</f>
        <v>16.25526</v>
      </c>
      <c r="T180" s="631"/>
      <c r="U180" s="631"/>
      <c r="V180" s="631"/>
      <c r="W180" s="632">
        <f>CCBASE!$I$43*B180/1000</f>
        <v>243.71633</v>
      </c>
      <c r="X180" s="632"/>
      <c r="Y180" s="632"/>
      <c r="Z180" s="632"/>
      <c r="AA180" s="632"/>
      <c r="AB180" s="632"/>
      <c r="AC180" s="632"/>
      <c r="AD180" s="632">
        <f>CCBASE!$I$35*2</f>
        <v>283.89648</v>
      </c>
      <c r="AI180" s="634"/>
      <c r="AJ180" s="634"/>
      <c r="AR180" s="635"/>
      <c r="AS180" s="635"/>
    </row>
    <row r="181" spans="1:45" x14ac:dyDescent="0.2">
      <c r="A181" s="630" t="s">
        <v>186</v>
      </c>
      <c r="B181" s="630">
        <v>3000</v>
      </c>
      <c r="C181" s="630">
        <v>2000</v>
      </c>
      <c r="D181" s="630" t="str">
        <f t="shared" si="66"/>
        <v>KVX30002000</v>
      </c>
      <c r="E181" s="1046">
        <f t="shared" si="63"/>
        <v>1679.8119710999999</v>
      </c>
      <c r="F181" s="631">
        <v>14</v>
      </c>
      <c r="G181" s="632">
        <f>F181*CCBASE!$B$51</f>
        <v>504</v>
      </c>
      <c r="H181" s="632">
        <f>CCBASE!$I$12*B181/1000</f>
        <v>358.95161190000005</v>
      </c>
      <c r="I181" s="632"/>
      <c r="J181" s="632"/>
      <c r="K181" s="632"/>
      <c r="L181" s="637"/>
      <c r="M181" s="632">
        <f>CCBASE!$I$15*B181/1000</f>
        <v>239.53765500000003</v>
      </c>
      <c r="N181" s="632"/>
      <c r="O181" s="632"/>
      <c r="P181" s="632"/>
      <c r="Q181" s="632">
        <f>CCBASE!$I$51</f>
        <v>2.9</v>
      </c>
      <c r="R181" s="632">
        <f>CCBASE!$I$4</f>
        <v>8.3986041999999994</v>
      </c>
      <c r="S181" s="632">
        <f>CCBASE!$I$8</f>
        <v>16.25526</v>
      </c>
      <c r="T181" s="631"/>
      <c r="U181" s="631"/>
      <c r="V181" s="631"/>
      <c r="W181" s="632">
        <f>CCBASE!$I$43*B181/1000</f>
        <v>265.87235999999996</v>
      </c>
      <c r="X181" s="632"/>
      <c r="Y181" s="632"/>
      <c r="Z181" s="632"/>
      <c r="AA181" s="632"/>
      <c r="AB181" s="632"/>
      <c r="AC181" s="632"/>
      <c r="AD181" s="632">
        <f>CCBASE!$I$35*2</f>
        <v>283.89648</v>
      </c>
      <c r="AI181" s="634"/>
      <c r="AJ181" s="634"/>
      <c r="AK181" s="635"/>
      <c r="AL181" s="635"/>
      <c r="AM181" s="635"/>
      <c r="AN181" s="635"/>
      <c r="AO181" s="635"/>
      <c r="AP181" s="635"/>
      <c r="AQ181" s="635"/>
      <c r="AR181" s="635"/>
      <c r="AS181" s="635"/>
    </row>
    <row r="182" spans="1:45" x14ac:dyDescent="0.2">
      <c r="A182" s="630" t="s">
        <v>131</v>
      </c>
      <c r="B182" s="630">
        <v>1000</v>
      </c>
      <c r="C182" s="630">
        <v>1000</v>
      </c>
      <c r="D182" s="630" t="str">
        <f t="shared" ref="D182" si="67">A182&amp;B182&amp;C182</f>
        <v>KVI10001000</v>
      </c>
      <c r="E182" s="1046">
        <f t="shared" si="63"/>
        <v>1416.4362194999999</v>
      </c>
      <c r="F182" s="631">
        <v>20</v>
      </c>
      <c r="G182" s="632">
        <f>F182*CCBASE!$B$51</f>
        <v>720</v>
      </c>
      <c r="H182" s="632">
        <f>CCBASE!$I$12*B182/1000</f>
        <v>119.65053730000001</v>
      </c>
      <c r="I182" s="632"/>
      <c r="J182" s="632"/>
      <c r="K182" s="632"/>
      <c r="L182" s="632">
        <f>CCBASE!$I$14*B182/1000</f>
        <v>209.37365399999999</v>
      </c>
      <c r="M182" s="632"/>
      <c r="N182" s="632"/>
      <c r="O182" s="632">
        <f>CCBASE!$I$45*B182/1000</f>
        <v>9.9700000000000006</v>
      </c>
      <c r="P182" s="632"/>
      <c r="Q182" s="632">
        <f>CCBASE!$H$51</f>
        <v>5.16</v>
      </c>
      <c r="R182" s="632">
        <f>CCBASE!$I$4</f>
        <v>8.3986041999999994</v>
      </c>
      <c r="S182" s="632">
        <f>CCBASE!$I$8</f>
        <v>16.25526</v>
      </c>
      <c r="T182" s="632">
        <f>CCBASE!$I$44</f>
        <v>94.69</v>
      </c>
      <c r="U182" s="632"/>
      <c r="V182" s="632"/>
      <c r="W182" s="632">
        <f>CCBASE!$I$40*B182/1000</f>
        <v>41.308039999999998</v>
      </c>
      <c r="X182" s="632"/>
      <c r="Y182" s="632"/>
      <c r="Z182" s="632"/>
      <c r="AA182" s="632"/>
      <c r="AB182" s="632"/>
      <c r="AC182" s="632"/>
      <c r="AD182" s="632">
        <f>CCBASE!$I$36*2</f>
        <v>191.630124</v>
      </c>
      <c r="AI182" s="634"/>
      <c r="AJ182" s="634"/>
      <c r="AK182" s="635"/>
      <c r="AL182" s="635"/>
      <c r="AM182" s="635"/>
      <c r="AN182" s="635"/>
      <c r="AO182" s="635"/>
      <c r="AP182" s="635"/>
      <c r="AQ182" s="635"/>
      <c r="AR182" s="635"/>
      <c r="AS182" s="635"/>
    </row>
    <row r="183" spans="1:45" x14ac:dyDescent="0.2">
      <c r="A183" s="630" t="s">
        <v>131</v>
      </c>
      <c r="B183" s="630">
        <v>1250</v>
      </c>
      <c r="C183" s="630">
        <v>1000</v>
      </c>
      <c r="D183" s="630" t="str">
        <f>A183&amp;B183&amp;C183</f>
        <v>KVI12501000</v>
      </c>
      <c r="E183" s="1046">
        <f t="shared" si="63"/>
        <v>1511.5117773250001</v>
      </c>
      <c r="F183" s="631">
        <v>20</v>
      </c>
      <c r="G183" s="632">
        <f>F183*CCBASE!$B$51</f>
        <v>720</v>
      </c>
      <c r="H183" s="632">
        <f>CCBASE!$I$12*B183/1000</f>
        <v>149.56317162500002</v>
      </c>
      <c r="I183" s="632"/>
      <c r="J183" s="632"/>
      <c r="K183" s="632"/>
      <c r="L183" s="632">
        <f>CCBASE!$I$14*B183/1000</f>
        <v>261.71706749999998</v>
      </c>
      <c r="M183" s="632"/>
      <c r="N183" s="632"/>
      <c r="O183" s="632">
        <f>CCBASE!$I$45*B183/1000</f>
        <v>12.4625</v>
      </c>
      <c r="P183" s="632"/>
      <c r="Q183" s="632">
        <f>CCBASE!$H$51</f>
        <v>5.16</v>
      </c>
      <c r="R183" s="632">
        <f>CCBASE!$I$4</f>
        <v>8.3986041999999994</v>
      </c>
      <c r="S183" s="632">
        <f>CCBASE!$I$8</f>
        <v>16.25526</v>
      </c>
      <c r="T183" s="632">
        <f>CCBASE!$I$44</f>
        <v>94.69</v>
      </c>
      <c r="U183" s="632"/>
      <c r="V183" s="632"/>
      <c r="W183" s="632">
        <f>CCBASE!$I$40*B183/1000</f>
        <v>51.635049999999993</v>
      </c>
      <c r="X183" s="632"/>
      <c r="Y183" s="632"/>
      <c r="Z183" s="632"/>
      <c r="AA183" s="632"/>
      <c r="AB183" s="632"/>
      <c r="AC183" s="632"/>
      <c r="AD183" s="632">
        <f>CCBASE!$I$36*2</f>
        <v>191.630124</v>
      </c>
      <c r="AJ183" s="638"/>
    </row>
    <row r="184" spans="1:45" x14ac:dyDescent="0.2">
      <c r="A184" s="630" t="s">
        <v>131</v>
      </c>
      <c r="B184" s="630">
        <v>1500</v>
      </c>
      <c r="C184" s="630">
        <v>1000</v>
      </c>
      <c r="D184" s="630" t="str">
        <f>A184&amp;B184&amp;C184</f>
        <v>KVI15001000</v>
      </c>
      <c r="E184" s="1046">
        <f t="shared" si="63"/>
        <v>1606.5873351499999</v>
      </c>
      <c r="F184" s="631">
        <v>20</v>
      </c>
      <c r="G184" s="632">
        <f>F184*CCBASE!$B$51</f>
        <v>720</v>
      </c>
      <c r="H184" s="632">
        <f>CCBASE!$I$12*B184/1000</f>
        <v>179.47580595000002</v>
      </c>
      <c r="I184" s="632"/>
      <c r="J184" s="632"/>
      <c r="K184" s="632"/>
      <c r="L184" s="632">
        <f>CCBASE!$I$14*B184/1000</f>
        <v>314.06048099999998</v>
      </c>
      <c r="M184" s="632"/>
      <c r="N184" s="632"/>
      <c r="O184" s="632">
        <f>CCBASE!$I$45*B184/1000</f>
        <v>14.955000000000002</v>
      </c>
      <c r="P184" s="632"/>
      <c r="Q184" s="632">
        <f>CCBASE!$H$51</f>
        <v>5.16</v>
      </c>
      <c r="R184" s="632">
        <f>CCBASE!$I$4</f>
        <v>8.3986041999999994</v>
      </c>
      <c r="S184" s="632">
        <f>CCBASE!$I$8</f>
        <v>16.25526</v>
      </c>
      <c r="T184" s="632">
        <f>CCBASE!$I$44</f>
        <v>94.69</v>
      </c>
      <c r="U184" s="632"/>
      <c r="V184" s="632"/>
      <c r="W184" s="632">
        <f>CCBASE!$I$40*B184/1000</f>
        <v>61.962060000000001</v>
      </c>
      <c r="X184" s="632"/>
      <c r="Y184" s="632"/>
      <c r="Z184" s="632"/>
      <c r="AA184" s="632"/>
      <c r="AB184" s="632"/>
      <c r="AC184" s="632"/>
      <c r="AD184" s="632">
        <f>CCBASE!$I$36*2</f>
        <v>191.630124</v>
      </c>
      <c r="AJ184" s="638"/>
    </row>
    <row r="185" spans="1:45" x14ac:dyDescent="0.2">
      <c r="A185" s="630" t="s">
        <v>131</v>
      </c>
      <c r="B185" s="630">
        <v>1750</v>
      </c>
      <c r="C185" s="630">
        <v>1000</v>
      </c>
      <c r="D185" s="630" t="str">
        <f t="shared" ref="D185" si="68">A185&amp;B185&amp;C185</f>
        <v>KVI17501000</v>
      </c>
      <c r="E185" s="1046">
        <f t="shared" si="63"/>
        <v>1701.662892975</v>
      </c>
      <c r="F185" s="631">
        <v>20</v>
      </c>
      <c r="G185" s="632">
        <f>F185*CCBASE!$B$51</f>
        <v>720</v>
      </c>
      <c r="H185" s="632">
        <f>CCBASE!$I$12*B185/1000</f>
        <v>209.38844027500002</v>
      </c>
      <c r="I185" s="632"/>
      <c r="J185" s="632"/>
      <c r="K185" s="632"/>
      <c r="L185" s="632">
        <f>CCBASE!$I$14*B185/1000</f>
        <v>366.40389449999998</v>
      </c>
      <c r="M185" s="632"/>
      <c r="N185" s="632"/>
      <c r="O185" s="632">
        <f>CCBASE!$I$45*B185/1000</f>
        <v>17.447500000000002</v>
      </c>
      <c r="P185" s="632"/>
      <c r="Q185" s="632">
        <f>CCBASE!$H$51</f>
        <v>5.16</v>
      </c>
      <c r="R185" s="632">
        <f>CCBASE!$I$4</f>
        <v>8.3986041999999994</v>
      </c>
      <c r="S185" s="632">
        <f>CCBASE!$I$8</f>
        <v>16.25526</v>
      </c>
      <c r="T185" s="632">
        <f>CCBASE!$I$44</f>
        <v>94.69</v>
      </c>
      <c r="U185" s="632"/>
      <c r="V185" s="632"/>
      <c r="W185" s="632">
        <f>CCBASE!$I$40*B185/1000</f>
        <v>72.289069999999995</v>
      </c>
      <c r="X185" s="632"/>
      <c r="Y185" s="632"/>
      <c r="Z185" s="632"/>
      <c r="AA185" s="632"/>
      <c r="AB185" s="632"/>
      <c r="AC185" s="632"/>
      <c r="AD185" s="632">
        <f>CCBASE!$I$36*2</f>
        <v>191.630124</v>
      </c>
    </row>
    <row r="186" spans="1:45" x14ac:dyDescent="0.2">
      <c r="A186" s="630" t="s">
        <v>131</v>
      </c>
      <c r="B186" s="630">
        <v>2000</v>
      </c>
      <c r="C186" s="630">
        <v>1000</v>
      </c>
      <c r="D186" s="630" t="str">
        <f t="shared" ref="D186:D227" si="69">A186&amp;B186&amp;C186</f>
        <v>KVI20001000</v>
      </c>
      <c r="E186" s="1046">
        <f t="shared" si="63"/>
        <v>1796.7384508</v>
      </c>
      <c r="F186" s="631">
        <v>20</v>
      </c>
      <c r="G186" s="632">
        <f>F186*CCBASE!$B$51</f>
        <v>720</v>
      </c>
      <c r="H186" s="632">
        <f>CCBASE!$I$12*B186/1000</f>
        <v>239.30107460000002</v>
      </c>
      <c r="I186" s="632"/>
      <c r="J186" s="632"/>
      <c r="K186" s="632"/>
      <c r="L186" s="632">
        <f>CCBASE!$I$14*B186/1000</f>
        <v>418.74730799999998</v>
      </c>
      <c r="M186" s="632"/>
      <c r="N186" s="632"/>
      <c r="O186" s="632">
        <f>CCBASE!$I$45*B186/1000</f>
        <v>19.940000000000001</v>
      </c>
      <c r="P186" s="632"/>
      <c r="Q186" s="632">
        <f>CCBASE!$H$51</f>
        <v>5.16</v>
      </c>
      <c r="R186" s="632">
        <f>CCBASE!$I$4</f>
        <v>8.3986041999999994</v>
      </c>
      <c r="S186" s="632">
        <f>CCBASE!$I$8</f>
        <v>16.25526</v>
      </c>
      <c r="T186" s="632">
        <f>CCBASE!$I$44</f>
        <v>94.69</v>
      </c>
      <c r="U186" s="632"/>
      <c r="V186" s="632"/>
      <c r="W186" s="632">
        <f>CCBASE!$I$40*B186/1000</f>
        <v>82.616079999999997</v>
      </c>
      <c r="X186" s="632"/>
      <c r="Y186" s="632"/>
      <c r="Z186" s="632"/>
      <c r="AA186" s="632"/>
      <c r="AB186" s="632"/>
      <c r="AC186" s="632"/>
      <c r="AD186" s="632">
        <f>CCBASE!$I$36*2</f>
        <v>191.630124</v>
      </c>
    </row>
    <row r="187" spans="1:45" x14ac:dyDescent="0.2">
      <c r="A187" s="630" t="s">
        <v>131</v>
      </c>
      <c r="B187" s="630">
        <v>2250</v>
      </c>
      <c r="C187" s="630">
        <v>1000</v>
      </c>
      <c r="D187" s="630" t="str">
        <f t="shared" ref="D187" si="70">A187&amp;B187&amp;C187</f>
        <v>KVI22501000</v>
      </c>
      <c r="E187" s="1046">
        <f t="shared" si="63"/>
        <v>1927.8140086249998</v>
      </c>
      <c r="F187" s="631">
        <v>21</v>
      </c>
      <c r="G187" s="632">
        <f>F187*CCBASE!$B$51</f>
        <v>756</v>
      </c>
      <c r="H187" s="632">
        <f>CCBASE!$I$12*B187/1000</f>
        <v>269.21370892500005</v>
      </c>
      <c r="I187" s="632"/>
      <c r="J187" s="632"/>
      <c r="K187" s="632"/>
      <c r="L187" s="632">
        <f>CCBASE!$I$14*B187/1000</f>
        <v>471.09072149999997</v>
      </c>
      <c r="M187" s="632"/>
      <c r="N187" s="632"/>
      <c r="O187" s="632">
        <f>CCBASE!$I$45*B187/1000</f>
        <v>22.432500000000001</v>
      </c>
      <c r="P187" s="632"/>
      <c r="Q187" s="632">
        <f>CCBASE!$H$51</f>
        <v>5.16</v>
      </c>
      <c r="R187" s="632">
        <f>CCBASE!$I$4</f>
        <v>8.3986041999999994</v>
      </c>
      <c r="S187" s="632">
        <f>CCBASE!$I$8</f>
        <v>16.25526</v>
      </c>
      <c r="T187" s="632">
        <f>CCBASE!$I$44</f>
        <v>94.69</v>
      </c>
      <c r="U187" s="632"/>
      <c r="V187" s="632"/>
      <c r="W187" s="632">
        <f>CCBASE!$I$40*B187/1000</f>
        <v>92.943089999999998</v>
      </c>
      <c r="X187" s="632"/>
      <c r="Y187" s="632"/>
      <c r="Z187" s="632"/>
      <c r="AA187" s="632"/>
      <c r="AB187" s="632"/>
      <c r="AC187" s="632"/>
      <c r="AD187" s="632">
        <f>CCBASE!$I$36*2</f>
        <v>191.630124</v>
      </c>
    </row>
    <row r="188" spans="1:45" x14ac:dyDescent="0.2">
      <c r="A188" s="630" t="s">
        <v>131</v>
      </c>
      <c r="B188" s="630">
        <v>2500</v>
      </c>
      <c r="C188" s="630">
        <v>1000</v>
      </c>
      <c r="D188" s="630" t="str">
        <f t="shared" si="69"/>
        <v>KVI25001000</v>
      </c>
      <c r="E188" s="1046">
        <f t="shared" si="63"/>
        <v>2022.8895664499998</v>
      </c>
      <c r="F188" s="631">
        <v>21</v>
      </c>
      <c r="G188" s="632">
        <f>F188*CCBASE!$B$51</f>
        <v>756</v>
      </c>
      <c r="H188" s="632">
        <f>CCBASE!$I$12*B188/1000</f>
        <v>299.12634325000005</v>
      </c>
      <c r="I188" s="632"/>
      <c r="J188" s="632"/>
      <c r="K188" s="632"/>
      <c r="L188" s="632">
        <f>CCBASE!$I$14*B188/1000</f>
        <v>523.43413499999997</v>
      </c>
      <c r="M188" s="632"/>
      <c r="N188" s="632"/>
      <c r="O188" s="632">
        <f>CCBASE!$I$45*B188/1000</f>
        <v>24.925000000000001</v>
      </c>
      <c r="P188" s="632"/>
      <c r="Q188" s="632">
        <f>CCBASE!$H$51</f>
        <v>5.16</v>
      </c>
      <c r="R188" s="632">
        <f>CCBASE!$I$4</f>
        <v>8.3986041999999994</v>
      </c>
      <c r="S188" s="632">
        <f>CCBASE!$I$8</f>
        <v>16.25526</v>
      </c>
      <c r="T188" s="632">
        <f>CCBASE!$I$44</f>
        <v>94.69</v>
      </c>
      <c r="U188" s="632"/>
      <c r="V188" s="632"/>
      <c r="W188" s="632">
        <f>CCBASE!$I$40*B188/1000</f>
        <v>103.27009999999999</v>
      </c>
      <c r="X188" s="632"/>
      <c r="Y188" s="632"/>
      <c r="Z188" s="632"/>
      <c r="AA188" s="632"/>
      <c r="AB188" s="632"/>
      <c r="AC188" s="632"/>
      <c r="AD188" s="632">
        <f>CCBASE!$I$36*2</f>
        <v>191.630124</v>
      </c>
    </row>
    <row r="189" spans="1:45" x14ac:dyDescent="0.2">
      <c r="A189" s="630" t="s">
        <v>131</v>
      </c>
      <c r="B189" s="630">
        <v>2750</v>
      </c>
      <c r="C189" s="630">
        <v>1000</v>
      </c>
      <c r="D189" s="630" t="str">
        <f t="shared" ref="D189" si="71">A189&amp;B189&amp;C189</f>
        <v>KVI27501000</v>
      </c>
      <c r="E189" s="1046">
        <f t="shared" si="63"/>
        <v>2117.9651242749997</v>
      </c>
      <c r="F189" s="631">
        <v>21</v>
      </c>
      <c r="G189" s="632">
        <f>F189*CCBASE!$B$51</f>
        <v>756</v>
      </c>
      <c r="H189" s="632">
        <f>CCBASE!$I$12*B189/1000</f>
        <v>329.03897757500005</v>
      </c>
      <c r="I189" s="632"/>
      <c r="J189" s="632"/>
      <c r="K189" s="632"/>
      <c r="L189" s="632">
        <f>CCBASE!$I$14*B189/1000</f>
        <v>575.77754849999997</v>
      </c>
      <c r="M189" s="632"/>
      <c r="N189" s="632"/>
      <c r="O189" s="632">
        <f>CCBASE!$I$45*B189/1000</f>
        <v>27.4175</v>
      </c>
      <c r="P189" s="632"/>
      <c r="Q189" s="632">
        <f>CCBASE!$H$51</f>
        <v>5.16</v>
      </c>
      <c r="R189" s="632">
        <f>CCBASE!$I$4</f>
        <v>8.3986041999999994</v>
      </c>
      <c r="S189" s="632">
        <f>CCBASE!$I$8</f>
        <v>16.25526</v>
      </c>
      <c r="T189" s="632">
        <f>CCBASE!$I$44</f>
        <v>94.69</v>
      </c>
      <c r="U189" s="632"/>
      <c r="V189" s="632"/>
      <c r="W189" s="632">
        <f>CCBASE!$I$40*B189/1000</f>
        <v>113.59711</v>
      </c>
      <c r="X189" s="632"/>
      <c r="Y189" s="632"/>
      <c r="Z189" s="632"/>
      <c r="AA189" s="632"/>
      <c r="AB189" s="632"/>
      <c r="AC189" s="632"/>
      <c r="AD189" s="632">
        <f>CCBASE!$I$36*2</f>
        <v>191.630124</v>
      </c>
    </row>
    <row r="190" spans="1:45" x14ac:dyDescent="0.2">
      <c r="A190" s="630" t="s">
        <v>131</v>
      </c>
      <c r="B190" s="630">
        <v>3000</v>
      </c>
      <c r="C190" s="630">
        <v>1000</v>
      </c>
      <c r="D190" s="630" t="str">
        <f t="shared" si="69"/>
        <v>KVI30001000</v>
      </c>
      <c r="E190" s="1046">
        <f t="shared" si="63"/>
        <v>2213.0406820999997</v>
      </c>
      <c r="F190" s="631">
        <v>21</v>
      </c>
      <c r="G190" s="632">
        <f>F190*CCBASE!$B$51</f>
        <v>756</v>
      </c>
      <c r="H190" s="632">
        <f>CCBASE!$I$12*B190/1000</f>
        <v>358.95161190000005</v>
      </c>
      <c r="I190" s="632"/>
      <c r="J190" s="632"/>
      <c r="K190" s="632"/>
      <c r="L190" s="632">
        <f>CCBASE!$I$14*B190/1000</f>
        <v>628.12096199999996</v>
      </c>
      <c r="M190" s="632"/>
      <c r="N190" s="632"/>
      <c r="O190" s="632">
        <f>CCBASE!$I$45*B190/1000</f>
        <v>29.910000000000004</v>
      </c>
      <c r="P190" s="632"/>
      <c r="Q190" s="632">
        <f>CCBASE!$H$51</f>
        <v>5.16</v>
      </c>
      <c r="R190" s="632">
        <f>CCBASE!$I$4</f>
        <v>8.3986041999999994</v>
      </c>
      <c r="S190" s="632">
        <f>CCBASE!$I$8</f>
        <v>16.25526</v>
      </c>
      <c r="T190" s="632">
        <f>CCBASE!$I$44</f>
        <v>94.69</v>
      </c>
      <c r="U190" s="632"/>
      <c r="V190" s="632"/>
      <c r="W190" s="632">
        <f>CCBASE!$I$40*B190/1000</f>
        <v>123.92412</v>
      </c>
      <c r="X190" s="632"/>
      <c r="Y190" s="632"/>
      <c r="Z190" s="632"/>
      <c r="AA190" s="632"/>
      <c r="AB190" s="632"/>
      <c r="AC190" s="632"/>
      <c r="AD190" s="632">
        <f>CCBASE!$I$36*2</f>
        <v>191.630124</v>
      </c>
    </row>
    <row r="191" spans="1:45" x14ac:dyDescent="0.2">
      <c r="A191" s="630" t="s">
        <v>131</v>
      </c>
      <c r="B191" s="630">
        <v>1000</v>
      </c>
      <c r="C191" s="630">
        <v>1250</v>
      </c>
      <c r="D191" s="630" t="str">
        <f t="shared" si="69"/>
        <v>KVI10001250</v>
      </c>
      <c r="E191" s="1046">
        <f t="shared" si="63"/>
        <v>1416.4362194999999</v>
      </c>
      <c r="F191" s="631">
        <v>20</v>
      </c>
      <c r="G191" s="632">
        <f>F191*CCBASE!$B$51</f>
        <v>720</v>
      </c>
      <c r="H191" s="632">
        <f>CCBASE!$I$12*B191/1000</f>
        <v>119.65053730000001</v>
      </c>
      <c r="I191" s="632"/>
      <c r="J191" s="632"/>
      <c r="K191" s="632"/>
      <c r="L191" s="632">
        <f>CCBASE!$I$14*B191/1000</f>
        <v>209.37365399999999</v>
      </c>
      <c r="M191" s="632"/>
      <c r="N191" s="632"/>
      <c r="O191" s="632">
        <f>CCBASE!$I$45*B191/1000</f>
        <v>9.9700000000000006</v>
      </c>
      <c r="P191" s="632"/>
      <c r="Q191" s="632">
        <f>CCBASE!$H$51</f>
        <v>5.16</v>
      </c>
      <c r="R191" s="632">
        <f>CCBASE!$I$4</f>
        <v>8.3986041999999994</v>
      </c>
      <c r="S191" s="632">
        <f>CCBASE!$I$8</f>
        <v>16.25526</v>
      </c>
      <c r="T191" s="632">
        <f>CCBASE!$I$44</f>
        <v>94.69</v>
      </c>
      <c r="U191" s="632"/>
      <c r="V191" s="632"/>
      <c r="W191" s="632">
        <f>CCBASE!$I$40*B191/1000</f>
        <v>41.308039999999998</v>
      </c>
      <c r="X191" s="632"/>
      <c r="Y191" s="632"/>
      <c r="Z191" s="632"/>
      <c r="AA191" s="632"/>
      <c r="AB191" s="632"/>
      <c r="AC191" s="632"/>
      <c r="AD191" s="632">
        <f>CCBASE!$I$36*2</f>
        <v>191.630124</v>
      </c>
    </row>
    <row r="192" spans="1:45" x14ac:dyDescent="0.2">
      <c r="A192" s="630" t="s">
        <v>131</v>
      </c>
      <c r="B192" s="630">
        <v>1250</v>
      </c>
      <c r="C192" s="630">
        <v>1250</v>
      </c>
      <c r="D192" s="630" t="str">
        <f t="shared" ref="D192" si="72">A192&amp;B192&amp;C192</f>
        <v>KVI12501250</v>
      </c>
      <c r="E192" s="1046">
        <f t="shared" si="63"/>
        <v>1511.5117773250001</v>
      </c>
      <c r="F192" s="631">
        <v>20</v>
      </c>
      <c r="G192" s="632">
        <f>F192*CCBASE!$B$51</f>
        <v>720</v>
      </c>
      <c r="H192" s="632">
        <f>CCBASE!$I$12*B192/1000</f>
        <v>149.56317162500002</v>
      </c>
      <c r="I192" s="632"/>
      <c r="J192" s="632"/>
      <c r="K192" s="632"/>
      <c r="L192" s="632">
        <f>CCBASE!$I$14*B192/1000</f>
        <v>261.71706749999998</v>
      </c>
      <c r="M192" s="632"/>
      <c r="N192" s="632"/>
      <c r="O192" s="632">
        <f>CCBASE!$I$45*B192/1000</f>
        <v>12.4625</v>
      </c>
      <c r="P192" s="632"/>
      <c r="Q192" s="632">
        <f>CCBASE!$H$51</f>
        <v>5.16</v>
      </c>
      <c r="R192" s="632">
        <f>CCBASE!$I$4</f>
        <v>8.3986041999999994</v>
      </c>
      <c r="S192" s="632">
        <f>CCBASE!$I$8</f>
        <v>16.25526</v>
      </c>
      <c r="T192" s="632">
        <f>CCBASE!$I$44</f>
        <v>94.69</v>
      </c>
      <c r="U192" s="632"/>
      <c r="V192" s="632"/>
      <c r="W192" s="632">
        <f>CCBASE!$I$40*B192/1000</f>
        <v>51.635049999999993</v>
      </c>
      <c r="X192" s="632"/>
      <c r="Y192" s="632"/>
      <c r="Z192" s="632"/>
      <c r="AA192" s="632"/>
      <c r="AB192" s="632"/>
      <c r="AC192" s="632"/>
      <c r="AD192" s="632">
        <f>CCBASE!$I$36*2</f>
        <v>191.630124</v>
      </c>
    </row>
    <row r="193" spans="1:30" x14ac:dyDescent="0.2">
      <c r="A193" s="630" t="s">
        <v>131</v>
      </c>
      <c r="B193" s="630">
        <v>1500</v>
      </c>
      <c r="C193" s="630">
        <v>1250</v>
      </c>
      <c r="D193" s="630" t="str">
        <f t="shared" si="69"/>
        <v>KVI15001250</v>
      </c>
      <c r="E193" s="1046">
        <f t="shared" si="63"/>
        <v>1606.5873351499999</v>
      </c>
      <c r="F193" s="631">
        <v>20</v>
      </c>
      <c r="G193" s="632">
        <f>F193*CCBASE!$B$51</f>
        <v>720</v>
      </c>
      <c r="H193" s="632">
        <f>CCBASE!$I$12*B193/1000</f>
        <v>179.47580595000002</v>
      </c>
      <c r="I193" s="632"/>
      <c r="J193" s="632"/>
      <c r="K193" s="632"/>
      <c r="L193" s="632">
        <f>CCBASE!$I$14*B193/1000</f>
        <v>314.06048099999998</v>
      </c>
      <c r="M193" s="632"/>
      <c r="N193" s="632"/>
      <c r="O193" s="632">
        <f>CCBASE!$I$45*B193/1000</f>
        <v>14.955000000000002</v>
      </c>
      <c r="P193" s="632"/>
      <c r="Q193" s="632">
        <f>CCBASE!$H$51</f>
        <v>5.16</v>
      </c>
      <c r="R193" s="632">
        <f>CCBASE!$I$4</f>
        <v>8.3986041999999994</v>
      </c>
      <c r="S193" s="632">
        <f>CCBASE!$I$8</f>
        <v>16.25526</v>
      </c>
      <c r="T193" s="632">
        <f>CCBASE!$I$44</f>
        <v>94.69</v>
      </c>
      <c r="U193" s="632"/>
      <c r="V193" s="632"/>
      <c r="W193" s="632">
        <f>CCBASE!$I$40*B193/1000</f>
        <v>61.962060000000001</v>
      </c>
      <c r="X193" s="632"/>
      <c r="Y193" s="632"/>
      <c r="Z193" s="632"/>
      <c r="AA193" s="632"/>
      <c r="AB193" s="632"/>
      <c r="AC193" s="632"/>
      <c r="AD193" s="632">
        <f>CCBASE!$I$36*2</f>
        <v>191.630124</v>
      </c>
    </row>
    <row r="194" spans="1:30" x14ac:dyDescent="0.2">
      <c r="A194" s="630" t="s">
        <v>131</v>
      </c>
      <c r="B194" s="630">
        <v>1750</v>
      </c>
      <c r="C194" s="630">
        <v>1250</v>
      </c>
      <c r="D194" s="630" t="str">
        <f t="shared" ref="D194" si="73">A194&amp;B194&amp;C194</f>
        <v>KVI17501250</v>
      </c>
      <c r="E194" s="1046">
        <f t="shared" si="63"/>
        <v>1701.662892975</v>
      </c>
      <c r="F194" s="631">
        <v>20</v>
      </c>
      <c r="G194" s="632">
        <f>F194*CCBASE!$B$51</f>
        <v>720</v>
      </c>
      <c r="H194" s="632">
        <f>CCBASE!$I$12*B194/1000</f>
        <v>209.38844027500002</v>
      </c>
      <c r="I194" s="632"/>
      <c r="J194" s="632"/>
      <c r="K194" s="632"/>
      <c r="L194" s="632">
        <f>CCBASE!$I$14*B194/1000</f>
        <v>366.40389449999998</v>
      </c>
      <c r="M194" s="632"/>
      <c r="N194" s="632"/>
      <c r="O194" s="632">
        <f>CCBASE!$I$45*B194/1000</f>
        <v>17.447500000000002</v>
      </c>
      <c r="P194" s="632"/>
      <c r="Q194" s="632">
        <f>CCBASE!$H$51</f>
        <v>5.16</v>
      </c>
      <c r="R194" s="632">
        <f>CCBASE!$I$4</f>
        <v>8.3986041999999994</v>
      </c>
      <c r="S194" s="632">
        <f>CCBASE!$I$8</f>
        <v>16.25526</v>
      </c>
      <c r="T194" s="632">
        <f>CCBASE!$I$44</f>
        <v>94.69</v>
      </c>
      <c r="U194" s="632"/>
      <c r="V194" s="632"/>
      <c r="W194" s="632">
        <f>CCBASE!$I$40*B194/1000</f>
        <v>72.289069999999995</v>
      </c>
      <c r="X194" s="632"/>
      <c r="Y194" s="632"/>
      <c r="Z194" s="632"/>
      <c r="AA194" s="632"/>
      <c r="AB194" s="632"/>
      <c r="AC194" s="632"/>
      <c r="AD194" s="632">
        <f>CCBASE!$I$36*2</f>
        <v>191.630124</v>
      </c>
    </row>
    <row r="195" spans="1:30" x14ac:dyDescent="0.2">
      <c r="A195" s="630" t="s">
        <v>131</v>
      </c>
      <c r="B195" s="630">
        <v>2000</v>
      </c>
      <c r="C195" s="630">
        <v>1250</v>
      </c>
      <c r="D195" s="630" t="str">
        <f t="shared" si="69"/>
        <v>KVI20001250</v>
      </c>
      <c r="E195" s="1046">
        <f t="shared" ref="E195:E258" si="74">SUM(G195:AD195)</f>
        <v>1796.7384508</v>
      </c>
      <c r="F195" s="631">
        <v>20</v>
      </c>
      <c r="G195" s="632">
        <f>F195*CCBASE!$B$51</f>
        <v>720</v>
      </c>
      <c r="H195" s="632">
        <f>CCBASE!$I$12*B195/1000</f>
        <v>239.30107460000002</v>
      </c>
      <c r="I195" s="632"/>
      <c r="J195" s="632"/>
      <c r="K195" s="632"/>
      <c r="L195" s="632">
        <f>CCBASE!$I$14*B195/1000</f>
        <v>418.74730799999998</v>
      </c>
      <c r="M195" s="632"/>
      <c r="N195" s="632"/>
      <c r="O195" s="632">
        <f>CCBASE!$I$45*B195/1000</f>
        <v>19.940000000000001</v>
      </c>
      <c r="P195" s="632"/>
      <c r="Q195" s="632">
        <f>CCBASE!$H$51</f>
        <v>5.16</v>
      </c>
      <c r="R195" s="632">
        <f>CCBASE!$I$4</f>
        <v>8.3986041999999994</v>
      </c>
      <c r="S195" s="632">
        <f>CCBASE!$I$8</f>
        <v>16.25526</v>
      </c>
      <c r="T195" s="632">
        <f>CCBASE!$I$44</f>
        <v>94.69</v>
      </c>
      <c r="U195" s="632"/>
      <c r="V195" s="632"/>
      <c r="W195" s="632">
        <f>CCBASE!$I$40*B195/1000</f>
        <v>82.616079999999997</v>
      </c>
      <c r="X195" s="632"/>
      <c r="Y195" s="632"/>
      <c r="Z195" s="632"/>
      <c r="AA195" s="632"/>
      <c r="AB195" s="632"/>
      <c r="AC195" s="632"/>
      <c r="AD195" s="632">
        <f>CCBASE!$I$36*2</f>
        <v>191.630124</v>
      </c>
    </row>
    <row r="196" spans="1:30" x14ac:dyDescent="0.2">
      <c r="A196" s="630" t="s">
        <v>131</v>
      </c>
      <c r="B196" s="630">
        <v>2250</v>
      </c>
      <c r="C196" s="630">
        <v>1250</v>
      </c>
      <c r="D196" s="630" t="str">
        <f t="shared" ref="D196" si="75">A196&amp;B196&amp;C196</f>
        <v>KVI22501250</v>
      </c>
      <c r="E196" s="1046">
        <f t="shared" si="74"/>
        <v>1927.8140086249998</v>
      </c>
      <c r="F196" s="631">
        <v>21</v>
      </c>
      <c r="G196" s="632">
        <f>F196*CCBASE!$B$51</f>
        <v>756</v>
      </c>
      <c r="H196" s="632">
        <f>CCBASE!$I$12*B196/1000</f>
        <v>269.21370892500005</v>
      </c>
      <c r="I196" s="632"/>
      <c r="J196" s="632"/>
      <c r="K196" s="632"/>
      <c r="L196" s="632">
        <f>CCBASE!$I$14*B196/1000</f>
        <v>471.09072149999997</v>
      </c>
      <c r="M196" s="632"/>
      <c r="N196" s="632"/>
      <c r="O196" s="632">
        <f>CCBASE!$I$45*B196/1000</f>
        <v>22.432500000000001</v>
      </c>
      <c r="P196" s="632"/>
      <c r="Q196" s="632">
        <f>CCBASE!$H$51</f>
        <v>5.16</v>
      </c>
      <c r="R196" s="632">
        <f>CCBASE!$I$4</f>
        <v>8.3986041999999994</v>
      </c>
      <c r="S196" s="632">
        <f>CCBASE!$I$8</f>
        <v>16.25526</v>
      </c>
      <c r="T196" s="632">
        <f>CCBASE!$I$44</f>
        <v>94.69</v>
      </c>
      <c r="U196" s="632"/>
      <c r="V196" s="632"/>
      <c r="W196" s="632">
        <f>CCBASE!$I$40*B196/1000</f>
        <v>92.943089999999998</v>
      </c>
      <c r="X196" s="632"/>
      <c r="Y196" s="632"/>
      <c r="Z196" s="632"/>
      <c r="AA196" s="632"/>
      <c r="AB196" s="632"/>
      <c r="AC196" s="632"/>
      <c r="AD196" s="632">
        <f>CCBASE!$I$36*2</f>
        <v>191.630124</v>
      </c>
    </row>
    <row r="197" spans="1:30" x14ac:dyDescent="0.2">
      <c r="A197" s="630" t="s">
        <v>131</v>
      </c>
      <c r="B197" s="630">
        <v>2500</v>
      </c>
      <c r="C197" s="630">
        <v>1250</v>
      </c>
      <c r="D197" s="630" t="str">
        <f t="shared" si="69"/>
        <v>KVI25001250</v>
      </c>
      <c r="E197" s="1046">
        <f t="shared" si="74"/>
        <v>2022.8895664499998</v>
      </c>
      <c r="F197" s="631">
        <v>21</v>
      </c>
      <c r="G197" s="632">
        <f>F197*CCBASE!$B$51</f>
        <v>756</v>
      </c>
      <c r="H197" s="632">
        <f>CCBASE!$I$12*B197/1000</f>
        <v>299.12634325000005</v>
      </c>
      <c r="I197" s="632"/>
      <c r="J197" s="632"/>
      <c r="K197" s="632"/>
      <c r="L197" s="632">
        <f>CCBASE!$I$14*B197/1000</f>
        <v>523.43413499999997</v>
      </c>
      <c r="M197" s="632"/>
      <c r="N197" s="632"/>
      <c r="O197" s="632">
        <f>CCBASE!$I$45*B197/1000</f>
        <v>24.925000000000001</v>
      </c>
      <c r="P197" s="632"/>
      <c r="Q197" s="632">
        <f>CCBASE!$H$51</f>
        <v>5.16</v>
      </c>
      <c r="R197" s="632">
        <f>CCBASE!$I$4</f>
        <v>8.3986041999999994</v>
      </c>
      <c r="S197" s="632">
        <f>CCBASE!$I$8</f>
        <v>16.25526</v>
      </c>
      <c r="T197" s="632">
        <f>CCBASE!$I$44</f>
        <v>94.69</v>
      </c>
      <c r="U197" s="632"/>
      <c r="V197" s="632"/>
      <c r="W197" s="632">
        <f>CCBASE!$I$40*B197/1000</f>
        <v>103.27009999999999</v>
      </c>
      <c r="X197" s="632"/>
      <c r="Y197" s="632"/>
      <c r="Z197" s="632"/>
      <c r="AA197" s="632"/>
      <c r="AB197" s="632"/>
      <c r="AC197" s="632"/>
      <c r="AD197" s="632">
        <f>CCBASE!$I$36*2</f>
        <v>191.630124</v>
      </c>
    </row>
    <row r="198" spans="1:30" x14ac:dyDescent="0.2">
      <c r="A198" s="630" t="s">
        <v>131</v>
      </c>
      <c r="B198" s="630">
        <v>2750</v>
      </c>
      <c r="C198" s="630">
        <v>1250</v>
      </c>
      <c r="D198" s="630" t="str">
        <f t="shared" ref="D198" si="76">A198&amp;B198&amp;C198</f>
        <v>KVI27501250</v>
      </c>
      <c r="E198" s="1046">
        <f t="shared" si="74"/>
        <v>2117.9651242749997</v>
      </c>
      <c r="F198" s="631">
        <v>21</v>
      </c>
      <c r="G198" s="632">
        <f>F198*CCBASE!$B$51</f>
        <v>756</v>
      </c>
      <c r="H198" s="632">
        <f>CCBASE!$I$12*B198/1000</f>
        <v>329.03897757500005</v>
      </c>
      <c r="I198" s="632"/>
      <c r="J198" s="632"/>
      <c r="K198" s="632"/>
      <c r="L198" s="632">
        <f>CCBASE!$I$14*B198/1000</f>
        <v>575.77754849999997</v>
      </c>
      <c r="M198" s="632"/>
      <c r="N198" s="632"/>
      <c r="O198" s="632">
        <f>CCBASE!$I$45*B198/1000</f>
        <v>27.4175</v>
      </c>
      <c r="P198" s="632"/>
      <c r="Q198" s="632">
        <f>CCBASE!$H$51</f>
        <v>5.16</v>
      </c>
      <c r="R198" s="632">
        <f>CCBASE!$I$4</f>
        <v>8.3986041999999994</v>
      </c>
      <c r="S198" s="632">
        <f>CCBASE!$I$8</f>
        <v>16.25526</v>
      </c>
      <c r="T198" s="632">
        <f>CCBASE!$I$44</f>
        <v>94.69</v>
      </c>
      <c r="U198" s="632"/>
      <c r="V198" s="632"/>
      <c r="W198" s="632">
        <f>CCBASE!$I$40*B198/1000</f>
        <v>113.59711</v>
      </c>
      <c r="X198" s="632"/>
      <c r="Y198" s="632"/>
      <c r="Z198" s="632"/>
      <c r="AA198" s="632"/>
      <c r="AB198" s="632"/>
      <c r="AC198" s="632"/>
      <c r="AD198" s="632">
        <f>CCBASE!$I$36*2</f>
        <v>191.630124</v>
      </c>
    </row>
    <row r="199" spans="1:30" x14ac:dyDescent="0.2">
      <c r="A199" s="630" t="s">
        <v>131</v>
      </c>
      <c r="B199" s="630">
        <v>3000</v>
      </c>
      <c r="C199" s="630">
        <v>1250</v>
      </c>
      <c r="D199" s="630" t="str">
        <f t="shared" si="69"/>
        <v>KVI30001250</v>
      </c>
      <c r="E199" s="1046">
        <f t="shared" si="74"/>
        <v>2213.0406820999997</v>
      </c>
      <c r="F199" s="631">
        <v>21</v>
      </c>
      <c r="G199" s="632">
        <f>F199*CCBASE!$B$51</f>
        <v>756</v>
      </c>
      <c r="H199" s="632">
        <f>CCBASE!$I$12*B199/1000</f>
        <v>358.95161190000005</v>
      </c>
      <c r="I199" s="632"/>
      <c r="J199" s="632"/>
      <c r="K199" s="632"/>
      <c r="L199" s="632">
        <f>CCBASE!$I$14*B199/1000</f>
        <v>628.12096199999996</v>
      </c>
      <c r="M199" s="632"/>
      <c r="N199" s="632"/>
      <c r="O199" s="632">
        <f>CCBASE!$I$45*B199/1000</f>
        <v>29.910000000000004</v>
      </c>
      <c r="P199" s="632"/>
      <c r="Q199" s="632">
        <f>CCBASE!$H$51</f>
        <v>5.16</v>
      </c>
      <c r="R199" s="632">
        <f>CCBASE!$I$4</f>
        <v>8.3986041999999994</v>
      </c>
      <c r="S199" s="632">
        <f>CCBASE!$I$8</f>
        <v>16.25526</v>
      </c>
      <c r="T199" s="632">
        <f>CCBASE!$I$44</f>
        <v>94.69</v>
      </c>
      <c r="U199" s="632"/>
      <c r="V199" s="632"/>
      <c r="W199" s="632">
        <f>CCBASE!$I$40*B199/1000</f>
        <v>123.92412</v>
      </c>
      <c r="X199" s="632"/>
      <c r="Y199" s="632"/>
      <c r="Z199" s="632"/>
      <c r="AA199" s="632"/>
      <c r="AB199" s="632"/>
      <c r="AC199" s="632"/>
      <c r="AD199" s="632">
        <f>CCBASE!$I$36*2</f>
        <v>191.630124</v>
      </c>
    </row>
    <row r="200" spans="1:30" x14ac:dyDescent="0.2">
      <c r="A200" s="630" t="s">
        <v>131</v>
      </c>
      <c r="B200" s="630">
        <v>1000</v>
      </c>
      <c r="C200" s="630">
        <v>1500</v>
      </c>
      <c r="D200" s="630" t="str">
        <f t="shared" si="69"/>
        <v>KVI10001500</v>
      </c>
      <c r="E200" s="1046">
        <f t="shared" si="74"/>
        <v>1482.6787315000001</v>
      </c>
      <c r="F200" s="631">
        <v>20</v>
      </c>
      <c r="G200" s="632">
        <f>F200*CCBASE!$B$51</f>
        <v>720</v>
      </c>
      <c r="H200" s="632">
        <f>CCBASE!$I$12*B200/1000</f>
        <v>119.65053730000001</v>
      </c>
      <c r="I200" s="632"/>
      <c r="J200" s="632"/>
      <c r="K200" s="632"/>
      <c r="L200" s="632">
        <f>CCBASE!$I$14*B200/1000</f>
        <v>209.37365399999999</v>
      </c>
      <c r="M200" s="632"/>
      <c r="N200" s="632"/>
      <c r="O200" s="632">
        <f>CCBASE!$I$45*B200/1000</f>
        <v>9.9700000000000006</v>
      </c>
      <c r="P200" s="632"/>
      <c r="Q200" s="632">
        <f>CCBASE!$H$51</f>
        <v>5.16</v>
      </c>
      <c r="R200" s="632">
        <f>CCBASE!$I$4</f>
        <v>8.3986041999999994</v>
      </c>
      <c r="S200" s="632">
        <f>CCBASE!$I$8</f>
        <v>16.25526</v>
      </c>
      <c r="T200" s="632">
        <f>CCBASE!$I$44</f>
        <v>94.69</v>
      </c>
      <c r="U200" s="632"/>
      <c r="V200" s="632"/>
      <c r="W200" s="632">
        <f>CCBASE!$I$41*B200/1000</f>
        <v>59.051569999999998</v>
      </c>
      <c r="X200" s="632"/>
      <c r="Y200" s="632"/>
      <c r="Z200" s="632"/>
      <c r="AA200" s="632"/>
      <c r="AB200" s="632"/>
      <c r="AC200" s="632"/>
      <c r="AD200" s="632">
        <f>CCBASE!$I$37*2</f>
        <v>240.12910599999998</v>
      </c>
    </row>
    <row r="201" spans="1:30" x14ac:dyDescent="0.2">
      <c r="A201" s="630" t="s">
        <v>131</v>
      </c>
      <c r="B201" s="630">
        <v>1250</v>
      </c>
      <c r="C201" s="630">
        <v>1500</v>
      </c>
      <c r="D201" s="630" t="str">
        <f t="shared" ref="D201:D202" si="77">A201&amp;B201&amp;C201</f>
        <v>KVI12501500</v>
      </c>
      <c r="E201" s="1046">
        <f t="shared" si="74"/>
        <v>1582.1901718250001</v>
      </c>
      <c r="F201" s="631">
        <v>20</v>
      </c>
      <c r="G201" s="632">
        <f>F201*CCBASE!$B$51</f>
        <v>720</v>
      </c>
      <c r="H201" s="632">
        <f>CCBASE!$I$12*B201/1000</f>
        <v>149.56317162500002</v>
      </c>
      <c r="I201" s="632"/>
      <c r="J201" s="632"/>
      <c r="K201" s="632"/>
      <c r="L201" s="632">
        <f>CCBASE!$I$14*B201/1000</f>
        <v>261.71706749999998</v>
      </c>
      <c r="M201" s="632"/>
      <c r="N201" s="632"/>
      <c r="O201" s="632">
        <f>CCBASE!$I$45*B201/1000</f>
        <v>12.4625</v>
      </c>
      <c r="P201" s="632"/>
      <c r="Q201" s="632">
        <f>CCBASE!$H$51</f>
        <v>5.16</v>
      </c>
      <c r="R201" s="632">
        <f>CCBASE!$I$4</f>
        <v>8.3986041999999994</v>
      </c>
      <c r="S201" s="632">
        <f>CCBASE!$I$8</f>
        <v>16.25526</v>
      </c>
      <c r="T201" s="632">
        <f>CCBASE!$I$44</f>
        <v>94.69</v>
      </c>
      <c r="U201" s="632"/>
      <c r="V201" s="632"/>
      <c r="W201" s="632">
        <f>CCBASE!$I$41*B201/1000</f>
        <v>73.814462499999991</v>
      </c>
      <c r="X201" s="632"/>
      <c r="Y201" s="632"/>
      <c r="Z201" s="632"/>
      <c r="AA201" s="632"/>
      <c r="AB201" s="632"/>
      <c r="AC201" s="632"/>
      <c r="AD201" s="632">
        <f>CCBASE!$I$37*2</f>
        <v>240.12910599999998</v>
      </c>
    </row>
    <row r="202" spans="1:30" x14ac:dyDescent="0.2">
      <c r="A202" s="630" t="s">
        <v>131</v>
      </c>
      <c r="B202" s="630">
        <v>1500</v>
      </c>
      <c r="C202" s="630">
        <v>1500</v>
      </c>
      <c r="D202" s="630" t="str">
        <f t="shared" si="77"/>
        <v>KVI15001500</v>
      </c>
      <c r="E202" s="1046">
        <f t="shared" si="74"/>
        <v>1681.7016121499996</v>
      </c>
      <c r="F202" s="631">
        <v>20</v>
      </c>
      <c r="G202" s="632">
        <f>F202*CCBASE!$B$51</f>
        <v>720</v>
      </c>
      <c r="H202" s="632">
        <f>CCBASE!$I$12*B202/1000</f>
        <v>179.47580595000002</v>
      </c>
      <c r="I202" s="632"/>
      <c r="J202" s="632"/>
      <c r="K202" s="632"/>
      <c r="L202" s="632">
        <f>CCBASE!$I$14*B202/1000</f>
        <v>314.06048099999998</v>
      </c>
      <c r="M202" s="632"/>
      <c r="N202" s="632"/>
      <c r="O202" s="632">
        <f>CCBASE!$I$45*B202/1000</f>
        <v>14.955000000000002</v>
      </c>
      <c r="P202" s="632"/>
      <c r="Q202" s="632">
        <f>CCBASE!$H$51</f>
        <v>5.16</v>
      </c>
      <c r="R202" s="632">
        <f>CCBASE!$I$4</f>
        <v>8.3986041999999994</v>
      </c>
      <c r="S202" s="632">
        <f>CCBASE!$I$8</f>
        <v>16.25526</v>
      </c>
      <c r="T202" s="632">
        <f>CCBASE!$I$44</f>
        <v>94.69</v>
      </c>
      <c r="U202" s="632"/>
      <c r="V202" s="632"/>
      <c r="W202" s="632">
        <f>CCBASE!$I$41*B202/1000</f>
        <v>88.577354999999997</v>
      </c>
      <c r="X202" s="632"/>
      <c r="Y202" s="632"/>
      <c r="Z202" s="632"/>
      <c r="AA202" s="632"/>
      <c r="AB202" s="632"/>
      <c r="AC202" s="632"/>
      <c r="AD202" s="632">
        <f>CCBASE!$I$37*2</f>
        <v>240.12910599999998</v>
      </c>
    </row>
    <row r="203" spans="1:30" x14ac:dyDescent="0.2">
      <c r="A203" s="630" t="s">
        <v>131</v>
      </c>
      <c r="B203" s="630">
        <v>1750</v>
      </c>
      <c r="C203" s="630">
        <v>1500</v>
      </c>
      <c r="D203" s="630" t="str">
        <f t="shared" si="69"/>
        <v>KVI17501500</v>
      </c>
      <c r="E203" s="1046">
        <f t="shared" si="74"/>
        <v>1781.213052475</v>
      </c>
      <c r="F203" s="631">
        <v>20</v>
      </c>
      <c r="G203" s="632">
        <f>F203*CCBASE!$B$51</f>
        <v>720</v>
      </c>
      <c r="H203" s="632">
        <f>CCBASE!$I$12*B203/1000</f>
        <v>209.38844027500002</v>
      </c>
      <c r="I203" s="632"/>
      <c r="J203" s="632"/>
      <c r="K203" s="632"/>
      <c r="L203" s="632">
        <f>CCBASE!$I$14*B203/1000</f>
        <v>366.40389449999998</v>
      </c>
      <c r="M203" s="632"/>
      <c r="N203" s="632"/>
      <c r="O203" s="632">
        <f>CCBASE!$I$45*B203/1000</f>
        <v>17.447500000000002</v>
      </c>
      <c r="P203" s="632"/>
      <c r="Q203" s="632">
        <f>CCBASE!$H$51</f>
        <v>5.16</v>
      </c>
      <c r="R203" s="632">
        <f>CCBASE!$I$4</f>
        <v>8.3986041999999994</v>
      </c>
      <c r="S203" s="632">
        <f>CCBASE!$I$8</f>
        <v>16.25526</v>
      </c>
      <c r="T203" s="632">
        <f>CCBASE!$I$44</f>
        <v>94.69</v>
      </c>
      <c r="U203" s="632"/>
      <c r="V203" s="632"/>
      <c r="W203" s="632">
        <f>CCBASE!$I$41*B203/1000</f>
        <v>103.3402475</v>
      </c>
      <c r="X203" s="632"/>
      <c r="Y203" s="632"/>
      <c r="Z203" s="632"/>
      <c r="AA203" s="632"/>
      <c r="AB203" s="632"/>
      <c r="AC203" s="632"/>
      <c r="AD203" s="632">
        <f>CCBASE!$I$37*2</f>
        <v>240.12910599999998</v>
      </c>
    </row>
    <row r="204" spans="1:30" x14ac:dyDescent="0.2">
      <c r="A204" s="630" t="s">
        <v>131</v>
      </c>
      <c r="B204" s="630">
        <v>2000</v>
      </c>
      <c r="C204" s="630">
        <v>1500</v>
      </c>
      <c r="D204" s="630" t="str">
        <f t="shared" si="69"/>
        <v>KVI20001500</v>
      </c>
      <c r="E204" s="1046">
        <f t="shared" si="74"/>
        <v>1880.7244928</v>
      </c>
      <c r="F204" s="631">
        <v>20</v>
      </c>
      <c r="G204" s="632">
        <f>F204*CCBASE!$B$51</f>
        <v>720</v>
      </c>
      <c r="H204" s="632">
        <f>CCBASE!$I$12*B204/1000</f>
        <v>239.30107460000002</v>
      </c>
      <c r="I204" s="632"/>
      <c r="J204" s="632"/>
      <c r="K204" s="632"/>
      <c r="L204" s="632">
        <f>CCBASE!$I$14*B204/1000</f>
        <v>418.74730799999998</v>
      </c>
      <c r="M204" s="632"/>
      <c r="N204" s="632"/>
      <c r="O204" s="632">
        <f>CCBASE!$I$45*B204/1000</f>
        <v>19.940000000000001</v>
      </c>
      <c r="P204" s="632"/>
      <c r="Q204" s="632">
        <f>CCBASE!$H$51</f>
        <v>5.16</v>
      </c>
      <c r="R204" s="632">
        <f>CCBASE!$I$4</f>
        <v>8.3986041999999994</v>
      </c>
      <c r="S204" s="632">
        <f>CCBASE!$I$8</f>
        <v>16.25526</v>
      </c>
      <c r="T204" s="632">
        <f>CCBASE!$I$44</f>
        <v>94.69</v>
      </c>
      <c r="U204" s="632"/>
      <c r="V204" s="632"/>
      <c r="W204" s="632">
        <f>CCBASE!$I$41*B204/1000</f>
        <v>118.10314</v>
      </c>
      <c r="X204" s="632"/>
      <c r="Y204" s="632"/>
      <c r="Z204" s="632"/>
      <c r="AA204" s="632"/>
      <c r="AB204" s="632"/>
      <c r="AC204" s="632"/>
      <c r="AD204" s="632">
        <f>CCBASE!$I$37*2</f>
        <v>240.12910599999998</v>
      </c>
    </row>
    <row r="205" spans="1:30" x14ac:dyDescent="0.2">
      <c r="A205" s="630" t="s">
        <v>131</v>
      </c>
      <c r="B205" s="630">
        <v>2250</v>
      </c>
      <c r="C205" s="630">
        <v>1500</v>
      </c>
      <c r="D205" s="630" t="str">
        <f t="shared" ref="D205" si="78">A205&amp;B205&amp;C205</f>
        <v>KVI22501500</v>
      </c>
      <c r="E205" s="1046">
        <f t="shared" si="74"/>
        <v>2016.235933125</v>
      </c>
      <c r="F205" s="631">
        <v>21</v>
      </c>
      <c r="G205" s="632">
        <f>F205*CCBASE!$B$51</f>
        <v>756</v>
      </c>
      <c r="H205" s="632">
        <f>CCBASE!$I$12*B205/1000</f>
        <v>269.21370892500005</v>
      </c>
      <c r="I205" s="632"/>
      <c r="J205" s="632"/>
      <c r="K205" s="632"/>
      <c r="L205" s="632">
        <f>CCBASE!$I$14*B205/1000</f>
        <v>471.09072149999997</v>
      </c>
      <c r="M205" s="632"/>
      <c r="N205" s="632"/>
      <c r="O205" s="632">
        <f>CCBASE!$I$45*B205/1000</f>
        <v>22.432500000000001</v>
      </c>
      <c r="P205" s="632"/>
      <c r="Q205" s="632">
        <f>CCBASE!$H$51</f>
        <v>5.16</v>
      </c>
      <c r="R205" s="632">
        <f>CCBASE!$I$4</f>
        <v>8.3986041999999994</v>
      </c>
      <c r="S205" s="632">
        <f>CCBASE!$I$8</f>
        <v>16.25526</v>
      </c>
      <c r="T205" s="632">
        <f>CCBASE!$I$44</f>
        <v>94.69</v>
      </c>
      <c r="U205" s="632"/>
      <c r="V205" s="632"/>
      <c r="W205" s="632">
        <f>CCBASE!$I$41*B205/1000</f>
        <v>132.86603249999999</v>
      </c>
      <c r="X205" s="632"/>
      <c r="Y205" s="632"/>
      <c r="Z205" s="632"/>
      <c r="AA205" s="632"/>
      <c r="AB205" s="632"/>
      <c r="AC205" s="632"/>
      <c r="AD205" s="632">
        <f>CCBASE!$I$37*2</f>
        <v>240.12910599999998</v>
      </c>
    </row>
    <row r="206" spans="1:30" x14ac:dyDescent="0.2">
      <c r="A206" s="630" t="s">
        <v>131</v>
      </c>
      <c r="B206" s="630">
        <v>2500</v>
      </c>
      <c r="C206" s="630">
        <v>1500</v>
      </c>
      <c r="D206" s="630" t="str">
        <f t="shared" si="69"/>
        <v>KVI25001500</v>
      </c>
      <c r="E206" s="1046">
        <f t="shared" si="74"/>
        <v>2115.7473734499999</v>
      </c>
      <c r="F206" s="631">
        <v>21</v>
      </c>
      <c r="G206" s="632">
        <f>F206*CCBASE!$B$51</f>
        <v>756</v>
      </c>
      <c r="H206" s="632">
        <f>CCBASE!$I$12*B206/1000</f>
        <v>299.12634325000005</v>
      </c>
      <c r="I206" s="632"/>
      <c r="J206" s="632"/>
      <c r="K206" s="632"/>
      <c r="L206" s="632">
        <f>CCBASE!$I$14*B206/1000</f>
        <v>523.43413499999997</v>
      </c>
      <c r="M206" s="632"/>
      <c r="N206" s="632"/>
      <c r="O206" s="632">
        <f>CCBASE!$I$45*B206/1000</f>
        <v>24.925000000000001</v>
      </c>
      <c r="P206" s="632"/>
      <c r="Q206" s="632">
        <f>CCBASE!$H$51</f>
        <v>5.16</v>
      </c>
      <c r="R206" s="632">
        <f>CCBASE!$I$4</f>
        <v>8.3986041999999994</v>
      </c>
      <c r="S206" s="632">
        <f>CCBASE!$I$8</f>
        <v>16.25526</v>
      </c>
      <c r="T206" s="632">
        <f>CCBASE!$I$44</f>
        <v>94.69</v>
      </c>
      <c r="U206" s="632"/>
      <c r="V206" s="632"/>
      <c r="W206" s="632">
        <f>CCBASE!$I$41*B206/1000</f>
        <v>147.62892499999998</v>
      </c>
      <c r="X206" s="632"/>
      <c r="Y206" s="632"/>
      <c r="Z206" s="632"/>
      <c r="AA206" s="632"/>
      <c r="AB206" s="632"/>
      <c r="AC206" s="632"/>
      <c r="AD206" s="632">
        <f>CCBASE!$I$37*2</f>
        <v>240.12910599999998</v>
      </c>
    </row>
    <row r="207" spans="1:30" x14ac:dyDescent="0.2">
      <c r="A207" s="630" t="s">
        <v>131</v>
      </c>
      <c r="B207" s="630">
        <v>2750</v>
      </c>
      <c r="C207" s="630">
        <v>1500</v>
      </c>
      <c r="D207" s="630" t="str">
        <f t="shared" ref="D207" si="79">A207&amp;B207&amp;C207</f>
        <v>KVI27501500</v>
      </c>
      <c r="E207" s="1046">
        <f t="shared" si="74"/>
        <v>2215.2588137749999</v>
      </c>
      <c r="F207" s="631">
        <v>21</v>
      </c>
      <c r="G207" s="632">
        <f>F207*CCBASE!$B$51</f>
        <v>756</v>
      </c>
      <c r="H207" s="632">
        <f>CCBASE!$I$12*B207/1000</f>
        <v>329.03897757500005</v>
      </c>
      <c r="I207" s="632"/>
      <c r="J207" s="632"/>
      <c r="K207" s="632"/>
      <c r="L207" s="632">
        <f>CCBASE!$I$14*B207/1000</f>
        <v>575.77754849999997</v>
      </c>
      <c r="M207" s="632"/>
      <c r="N207" s="632"/>
      <c r="O207" s="632">
        <f>CCBASE!$I$45*B207/1000</f>
        <v>27.4175</v>
      </c>
      <c r="P207" s="632"/>
      <c r="Q207" s="632">
        <f>CCBASE!$H$51</f>
        <v>5.16</v>
      </c>
      <c r="R207" s="632">
        <f>CCBASE!$I$4</f>
        <v>8.3986041999999994</v>
      </c>
      <c r="S207" s="632">
        <f>CCBASE!$I$8</f>
        <v>16.25526</v>
      </c>
      <c r="T207" s="632">
        <f>CCBASE!$I$44</f>
        <v>94.69</v>
      </c>
      <c r="U207" s="632"/>
      <c r="V207" s="632"/>
      <c r="W207" s="632">
        <f>CCBASE!$I$41*B207/1000</f>
        <v>162.3918175</v>
      </c>
      <c r="X207" s="632"/>
      <c r="Y207" s="632"/>
      <c r="Z207" s="632"/>
      <c r="AA207" s="632"/>
      <c r="AB207" s="632"/>
      <c r="AC207" s="632"/>
      <c r="AD207" s="632">
        <f>CCBASE!$I$37*2</f>
        <v>240.12910599999998</v>
      </c>
    </row>
    <row r="208" spans="1:30" x14ac:dyDescent="0.2">
      <c r="A208" s="630" t="s">
        <v>131</v>
      </c>
      <c r="B208" s="630">
        <v>3000</v>
      </c>
      <c r="C208" s="630">
        <v>1500</v>
      </c>
      <c r="D208" s="630" t="str">
        <f t="shared" si="69"/>
        <v>KVI30001500</v>
      </c>
      <c r="E208" s="1046">
        <f t="shared" si="74"/>
        <v>2314.7702540999999</v>
      </c>
      <c r="F208" s="631">
        <v>21</v>
      </c>
      <c r="G208" s="632">
        <f>F208*CCBASE!$B$51</f>
        <v>756</v>
      </c>
      <c r="H208" s="632">
        <f>CCBASE!$I$12*B208/1000</f>
        <v>358.95161190000005</v>
      </c>
      <c r="I208" s="632"/>
      <c r="J208" s="632"/>
      <c r="K208" s="632"/>
      <c r="L208" s="632">
        <f>CCBASE!$I$14*B208/1000</f>
        <v>628.12096199999996</v>
      </c>
      <c r="M208" s="632"/>
      <c r="N208" s="632"/>
      <c r="O208" s="632">
        <f>CCBASE!$I$45*B208/1000</f>
        <v>29.910000000000004</v>
      </c>
      <c r="P208" s="632"/>
      <c r="Q208" s="632">
        <f>CCBASE!$H$51</f>
        <v>5.16</v>
      </c>
      <c r="R208" s="632">
        <f>CCBASE!$I$4</f>
        <v>8.3986041999999994</v>
      </c>
      <c r="S208" s="632">
        <f>CCBASE!$I$8</f>
        <v>16.25526</v>
      </c>
      <c r="T208" s="632">
        <f>CCBASE!$I$44</f>
        <v>94.69</v>
      </c>
      <c r="U208" s="632"/>
      <c r="V208" s="632"/>
      <c r="W208" s="632">
        <f>CCBASE!$I$41*B208/1000</f>
        <v>177.15470999999999</v>
      </c>
      <c r="X208" s="632"/>
      <c r="Y208" s="632"/>
      <c r="Z208" s="632"/>
      <c r="AA208" s="632"/>
      <c r="AB208" s="632"/>
      <c r="AC208" s="632"/>
      <c r="AD208" s="632">
        <f>CCBASE!$I$37*2</f>
        <v>240.12910599999998</v>
      </c>
    </row>
    <row r="209" spans="1:30" x14ac:dyDescent="0.2">
      <c r="A209" s="630" t="s">
        <v>131</v>
      </c>
      <c r="B209" s="630">
        <v>1000</v>
      </c>
      <c r="C209" s="630">
        <v>1750</v>
      </c>
      <c r="D209" s="630" t="str">
        <f t="shared" si="69"/>
        <v>KVI10001750</v>
      </c>
      <c r="E209" s="1046">
        <f t="shared" si="74"/>
        <v>1526.4461054999999</v>
      </c>
      <c r="F209" s="631">
        <v>20</v>
      </c>
      <c r="G209" s="632">
        <f>F209*CCBASE!$B$51</f>
        <v>720</v>
      </c>
      <c r="H209" s="632">
        <f>CCBASE!$I$12*B209/1000</f>
        <v>119.65053730000001</v>
      </c>
      <c r="I209" s="632"/>
      <c r="J209" s="632"/>
      <c r="K209" s="632"/>
      <c r="L209" s="632">
        <f>CCBASE!$I$14*B209/1000</f>
        <v>209.37365399999999</v>
      </c>
      <c r="M209" s="632"/>
      <c r="N209" s="632"/>
      <c r="O209" s="632">
        <f>CCBASE!$I$45*B209/1000</f>
        <v>9.9700000000000006</v>
      </c>
      <c r="P209" s="632"/>
      <c r="Q209" s="632">
        <f>CCBASE!$H$51</f>
        <v>5.16</v>
      </c>
      <c r="R209" s="632">
        <f>CCBASE!$I$4</f>
        <v>8.3986041999999994</v>
      </c>
      <c r="S209" s="632">
        <f>CCBASE!$I$8</f>
        <v>16.25526</v>
      </c>
      <c r="T209" s="632">
        <f>CCBASE!$I$44</f>
        <v>94.69</v>
      </c>
      <c r="U209" s="631"/>
      <c r="V209" s="631"/>
      <c r="W209" s="632">
        <f>CCBASE!$I$42*B209/1000</f>
        <v>70.880589999999998</v>
      </c>
      <c r="X209" s="632"/>
      <c r="Y209" s="632"/>
      <c r="Z209" s="632"/>
      <c r="AA209" s="632"/>
      <c r="AB209" s="632"/>
      <c r="AC209" s="632"/>
      <c r="AD209" s="632">
        <f>CCBASE!$I$38*2</f>
        <v>272.06745999999998</v>
      </c>
    </row>
    <row r="210" spans="1:30" x14ac:dyDescent="0.2">
      <c r="A210" s="630" t="s">
        <v>131</v>
      </c>
      <c r="B210" s="630">
        <v>1250</v>
      </c>
      <c r="C210" s="630">
        <v>1750</v>
      </c>
      <c r="D210" s="630" t="str">
        <f t="shared" ref="D210" si="80">A210&amp;B210&amp;C210</f>
        <v>KVI12501750</v>
      </c>
      <c r="E210" s="1046">
        <f t="shared" si="74"/>
        <v>1628.9148008249999</v>
      </c>
      <c r="F210" s="631">
        <v>20</v>
      </c>
      <c r="G210" s="632">
        <f>F210*CCBASE!$B$51</f>
        <v>720</v>
      </c>
      <c r="H210" s="632">
        <f>CCBASE!$I$12*B210/1000</f>
        <v>149.56317162500002</v>
      </c>
      <c r="I210" s="632"/>
      <c r="J210" s="632"/>
      <c r="K210" s="632"/>
      <c r="L210" s="632">
        <f>CCBASE!$I$14*B210/1000</f>
        <v>261.71706749999998</v>
      </c>
      <c r="M210" s="632"/>
      <c r="N210" s="632"/>
      <c r="O210" s="632">
        <f>CCBASE!$I$45*B210/1000</f>
        <v>12.4625</v>
      </c>
      <c r="P210" s="632"/>
      <c r="Q210" s="632">
        <f>CCBASE!$H$51</f>
        <v>5.16</v>
      </c>
      <c r="R210" s="632">
        <f>CCBASE!$I$4</f>
        <v>8.3986041999999994</v>
      </c>
      <c r="S210" s="632">
        <f>CCBASE!$I$8</f>
        <v>16.25526</v>
      </c>
      <c r="T210" s="632">
        <f>CCBASE!$I$44</f>
        <v>94.69</v>
      </c>
      <c r="U210" s="631"/>
      <c r="V210" s="631"/>
      <c r="W210" s="632">
        <f>CCBASE!$I$42*B210/1000</f>
        <v>88.600737500000008</v>
      </c>
      <c r="X210" s="632"/>
      <c r="Y210" s="632"/>
      <c r="Z210" s="632"/>
      <c r="AA210" s="632"/>
      <c r="AB210" s="632"/>
      <c r="AC210" s="632"/>
      <c r="AD210" s="632">
        <f>CCBASE!$I$38*2</f>
        <v>272.06745999999998</v>
      </c>
    </row>
    <row r="211" spans="1:30" x14ac:dyDescent="0.2">
      <c r="A211" s="630" t="s">
        <v>131</v>
      </c>
      <c r="B211" s="630">
        <v>1500</v>
      </c>
      <c r="C211" s="630">
        <v>1750</v>
      </c>
      <c r="D211" s="630" t="str">
        <f t="shared" si="69"/>
        <v>KVI15001750</v>
      </c>
      <c r="E211" s="1046">
        <f t="shared" si="74"/>
        <v>1731.3834961499999</v>
      </c>
      <c r="F211" s="631">
        <v>20</v>
      </c>
      <c r="G211" s="632">
        <f>F211*CCBASE!$B$51</f>
        <v>720</v>
      </c>
      <c r="H211" s="632">
        <f>CCBASE!$I$12*B211/1000</f>
        <v>179.47580595000002</v>
      </c>
      <c r="I211" s="632"/>
      <c r="J211" s="632"/>
      <c r="K211" s="632"/>
      <c r="L211" s="632">
        <f>CCBASE!$I$14*B211/1000</f>
        <v>314.06048099999998</v>
      </c>
      <c r="M211" s="632"/>
      <c r="N211" s="632"/>
      <c r="O211" s="632">
        <f>CCBASE!$I$45*B211/1000</f>
        <v>14.955000000000002</v>
      </c>
      <c r="P211" s="632"/>
      <c r="Q211" s="632">
        <f>CCBASE!$H$51</f>
        <v>5.16</v>
      </c>
      <c r="R211" s="632">
        <f>CCBASE!$I$4</f>
        <v>8.3986041999999994</v>
      </c>
      <c r="S211" s="632">
        <f>CCBASE!$I$8</f>
        <v>16.25526</v>
      </c>
      <c r="T211" s="632">
        <f>CCBASE!$I$44</f>
        <v>94.69</v>
      </c>
      <c r="U211" s="631"/>
      <c r="V211" s="631"/>
      <c r="W211" s="632">
        <f>CCBASE!$I$42*B211/1000</f>
        <v>106.32088499999999</v>
      </c>
      <c r="X211" s="632"/>
      <c r="Y211" s="632"/>
      <c r="Z211" s="632"/>
      <c r="AA211" s="632"/>
      <c r="AB211" s="632"/>
      <c r="AC211" s="632"/>
      <c r="AD211" s="632">
        <f>CCBASE!$I$38*2</f>
        <v>272.06745999999998</v>
      </c>
    </row>
    <row r="212" spans="1:30" x14ac:dyDescent="0.2">
      <c r="A212" s="630" t="s">
        <v>131</v>
      </c>
      <c r="B212" s="630">
        <v>1750</v>
      </c>
      <c r="C212" s="630">
        <v>1750</v>
      </c>
      <c r="D212" s="630" t="str">
        <f t="shared" ref="D212" si="81">A212&amp;B212&amp;C212</f>
        <v>KVI17501750</v>
      </c>
      <c r="E212" s="1046">
        <f t="shared" si="74"/>
        <v>1833.8521914749999</v>
      </c>
      <c r="F212" s="631">
        <v>20</v>
      </c>
      <c r="G212" s="632">
        <f>F212*CCBASE!$B$51</f>
        <v>720</v>
      </c>
      <c r="H212" s="632">
        <f>CCBASE!$I$12*B212/1000</f>
        <v>209.38844027500002</v>
      </c>
      <c r="I212" s="632"/>
      <c r="J212" s="632"/>
      <c r="K212" s="632"/>
      <c r="L212" s="632">
        <f>CCBASE!$I$14*B212/1000</f>
        <v>366.40389449999998</v>
      </c>
      <c r="M212" s="632"/>
      <c r="N212" s="632"/>
      <c r="O212" s="632">
        <f>CCBASE!$I$45*B212/1000</f>
        <v>17.447500000000002</v>
      </c>
      <c r="P212" s="632"/>
      <c r="Q212" s="632">
        <f>CCBASE!$H$51</f>
        <v>5.16</v>
      </c>
      <c r="R212" s="632">
        <f>CCBASE!$I$4</f>
        <v>8.3986041999999994</v>
      </c>
      <c r="S212" s="632">
        <f>CCBASE!$I$8</f>
        <v>16.25526</v>
      </c>
      <c r="T212" s="632">
        <f>CCBASE!$I$44</f>
        <v>94.69</v>
      </c>
      <c r="U212" s="631"/>
      <c r="V212" s="631"/>
      <c r="W212" s="632">
        <f>CCBASE!$I$42*B212/1000</f>
        <v>124.0410325</v>
      </c>
      <c r="X212" s="632"/>
      <c r="Y212" s="632"/>
      <c r="Z212" s="632"/>
      <c r="AA212" s="632"/>
      <c r="AB212" s="632"/>
      <c r="AC212" s="632"/>
      <c r="AD212" s="632">
        <f>CCBASE!$I$38*2</f>
        <v>272.06745999999998</v>
      </c>
    </row>
    <row r="213" spans="1:30" x14ac:dyDescent="0.2">
      <c r="A213" s="630" t="s">
        <v>131</v>
      </c>
      <c r="B213" s="630">
        <v>2000</v>
      </c>
      <c r="C213" s="630">
        <v>1750</v>
      </c>
      <c r="D213" s="630" t="str">
        <f t="shared" si="69"/>
        <v>KVI20001750</v>
      </c>
      <c r="E213" s="1046">
        <f t="shared" si="74"/>
        <v>1936.3208867999999</v>
      </c>
      <c r="F213" s="631">
        <v>20</v>
      </c>
      <c r="G213" s="632">
        <f>F213*CCBASE!$B$51</f>
        <v>720</v>
      </c>
      <c r="H213" s="632">
        <f>CCBASE!$I$12*B213/1000</f>
        <v>239.30107460000002</v>
      </c>
      <c r="I213" s="632"/>
      <c r="J213" s="632"/>
      <c r="K213" s="632"/>
      <c r="L213" s="632">
        <f>CCBASE!$I$14*B213/1000</f>
        <v>418.74730799999998</v>
      </c>
      <c r="M213" s="632"/>
      <c r="N213" s="632"/>
      <c r="O213" s="632">
        <f>CCBASE!$I$45*B213/1000</f>
        <v>19.940000000000001</v>
      </c>
      <c r="P213" s="632"/>
      <c r="Q213" s="632">
        <f>CCBASE!$H$51</f>
        <v>5.16</v>
      </c>
      <c r="R213" s="632">
        <f>CCBASE!$I$4</f>
        <v>8.3986041999999994</v>
      </c>
      <c r="S213" s="632">
        <f>CCBASE!$I$8</f>
        <v>16.25526</v>
      </c>
      <c r="T213" s="632">
        <f>CCBASE!$I$44</f>
        <v>94.69</v>
      </c>
      <c r="U213" s="631"/>
      <c r="V213" s="631"/>
      <c r="W213" s="632">
        <f>CCBASE!$I$42*B213/1000</f>
        <v>141.76118</v>
      </c>
      <c r="X213" s="632"/>
      <c r="Y213" s="632"/>
      <c r="Z213" s="632"/>
      <c r="AA213" s="632"/>
      <c r="AB213" s="632"/>
      <c r="AC213" s="632"/>
      <c r="AD213" s="632">
        <f>CCBASE!$I$38*2</f>
        <v>272.06745999999998</v>
      </c>
    </row>
    <row r="214" spans="1:30" x14ac:dyDescent="0.2">
      <c r="A214" s="630" t="s">
        <v>131</v>
      </c>
      <c r="B214" s="630">
        <v>2250</v>
      </c>
      <c r="C214" s="630">
        <v>1750</v>
      </c>
      <c r="D214" s="630" t="str">
        <f t="shared" ref="D214" si="82">A214&amp;B214&amp;C214</f>
        <v>KVI22501750</v>
      </c>
      <c r="E214" s="1046">
        <f t="shared" si="74"/>
        <v>2074.7895821249995</v>
      </c>
      <c r="F214" s="631">
        <v>21</v>
      </c>
      <c r="G214" s="632">
        <f>F214*CCBASE!$B$51</f>
        <v>756</v>
      </c>
      <c r="H214" s="632">
        <f>CCBASE!$I$12*B214/1000</f>
        <v>269.21370892500005</v>
      </c>
      <c r="I214" s="632"/>
      <c r="J214" s="632"/>
      <c r="K214" s="632"/>
      <c r="L214" s="632">
        <f>CCBASE!$I$14*B214/1000</f>
        <v>471.09072149999997</v>
      </c>
      <c r="M214" s="632"/>
      <c r="N214" s="632"/>
      <c r="O214" s="632">
        <f>CCBASE!$I$45*B214/1000</f>
        <v>22.432500000000001</v>
      </c>
      <c r="P214" s="632"/>
      <c r="Q214" s="632">
        <f>CCBASE!$H$51</f>
        <v>5.16</v>
      </c>
      <c r="R214" s="632">
        <f>CCBASE!$I$4</f>
        <v>8.3986041999999994</v>
      </c>
      <c r="S214" s="632">
        <f>CCBASE!$I$8</f>
        <v>16.25526</v>
      </c>
      <c r="T214" s="632">
        <f>CCBASE!$I$44</f>
        <v>94.69</v>
      </c>
      <c r="U214" s="631"/>
      <c r="V214" s="631"/>
      <c r="W214" s="632">
        <f>CCBASE!$I$42*B214/1000</f>
        <v>159.48132749999999</v>
      </c>
      <c r="X214" s="632"/>
      <c r="Y214" s="632"/>
      <c r="Z214" s="632"/>
      <c r="AA214" s="632"/>
      <c r="AB214" s="632"/>
      <c r="AC214" s="632"/>
      <c r="AD214" s="632">
        <f>CCBASE!$I$38*2</f>
        <v>272.06745999999998</v>
      </c>
    </row>
    <row r="215" spans="1:30" x14ac:dyDescent="0.2">
      <c r="A215" s="630" t="s">
        <v>131</v>
      </c>
      <c r="B215" s="630">
        <v>2500</v>
      </c>
      <c r="C215" s="630">
        <v>1750</v>
      </c>
      <c r="D215" s="630" t="str">
        <f t="shared" si="69"/>
        <v>KVI25001750</v>
      </c>
      <c r="E215" s="1046">
        <f t="shared" si="74"/>
        <v>2177.2582774499997</v>
      </c>
      <c r="F215" s="631">
        <v>21</v>
      </c>
      <c r="G215" s="632">
        <f>F215*CCBASE!$B$51</f>
        <v>756</v>
      </c>
      <c r="H215" s="632">
        <f>CCBASE!$I$12*B215/1000</f>
        <v>299.12634325000005</v>
      </c>
      <c r="I215" s="632"/>
      <c r="J215" s="632"/>
      <c r="K215" s="632"/>
      <c r="L215" s="632">
        <f>CCBASE!$I$14*B215/1000</f>
        <v>523.43413499999997</v>
      </c>
      <c r="M215" s="632"/>
      <c r="N215" s="632"/>
      <c r="O215" s="632">
        <f>CCBASE!$I$45*B215/1000</f>
        <v>24.925000000000001</v>
      </c>
      <c r="P215" s="632"/>
      <c r="Q215" s="632">
        <f>CCBASE!$H$51</f>
        <v>5.16</v>
      </c>
      <c r="R215" s="632">
        <f>CCBASE!$I$4</f>
        <v>8.3986041999999994</v>
      </c>
      <c r="S215" s="632">
        <f>CCBASE!$I$8</f>
        <v>16.25526</v>
      </c>
      <c r="T215" s="632">
        <f>CCBASE!$I$44</f>
        <v>94.69</v>
      </c>
      <c r="U215" s="631"/>
      <c r="V215" s="631"/>
      <c r="W215" s="632">
        <f>CCBASE!$I$42*B215/1000</f>
        <v>177.20147500000002</v>
      </c>
      <c r="X215" s="632"/>
      <c r="Y215" s="632"/>
      <c r="Z215" s="632"/>
      <c r="AA215" s="632"/>
      <c r="AB215" s="632"/>
      <c r="AC215" s="632"/>
      <c r="AD215" s="632">
        <f>CCBASE!$I$38*2</f>
        <v>272.06745999999998</v>
      </c>
    </row>
    <row r="216" spans="1:30" x14ac:dyDescent="0.2">
      <c r="A216" s="630" t="s">
        <v>131</v>
      </c>
      <c r="B216" s="630">
        <v>2750</v>
      </c>
      <c r="C216" s="630">
        <v>1750</v>
      </c>
      <c r="D216" s="630" t="str">
        <f t="shared" ref="D216" si="83">A216&amp;B216&amp;C216</f>
        <v>KVI27501750</v>
      </c>
      <c r="E216" s="1046">
        <f t="shared" si="74"/>
        <v>2279.7269727749999</v>
      </c>
      <c r="F216" s="631">
        <v>21</v>
      </c>
      <c r="G216" s="632">
        <f>F216*CCBASE!$B$51</f>
        <v>756</v>
      </c>
      <c r="H216" s="632">
        <f>CCBASE!$I$12*B216/1000</f>
        <v>329.03897757500005</v>
      </c>
      <c r="I216" s="632"/>
      <c r="J216" s="632"/>
      <c r="K216" s="632"/>
      <c r="L216" s="632">
        <f>CCBASE!$I$14*B216/1000</f>
        <v>575.77754849999997</v>
      </c>
      <c r="M216" s="632"/>
      <c r="N216" s="632"/>
      <c r="O216" s="632">
        <f>CCBASE!$I$45*B216/1000</f>
        <v>27.4175</v>
      </c>
      <c r="P216" s="632"/>
      <c r="Q216" s="632">
        <f>CCBASE!$H$51</f>
        <v>5.16</v>
      </c>
      <c r="R216" s="632">
        <f>CCBASE!$I$4</f>
        <v>8.3986041999999994</v>
      </c>
      <c r="S216" s="632">
        <f>CCBASE!$I$8</f>
        <v>16.25526</v>
      </c>
      <c r="T216" s="632">
        <f>CCBASE!$I$44</f>
        <v>94.69</v>
      </c>
      <c r="U216" s="631"/>
      <c r="V216" s="631"/>
      <c r="W216" s="632">
        <f>CCBASE!$I$42*B216/1000</f>
        <v>194.92162249999998</v>
      </c>
      <c r="X216" s="632"/>
      <c r="Y216" s="632"/>
      <c r="Z216" s="632"/>
      <c r="AA216" s="632"/>
      <c r="AB216" s="632"/>
      <c r="AC216" s="632"/>
      <c r="AD216" s="632">
        <f>CCBASE!$I$38*2</f>
        <v>272.06745999999998</v>
      </c>
    </row>
    <row r="217" spans="1:30" x14ac:dyDescent="0.2">
      <c r="A217" s="630" t="s">
        <v>131</v>
      </c>
      <c r="B217" s="630">
        <v>3000</v>
      </c>
      <c r="C217" s="630">
        <v>1750</v>
      </c>
      <c r="D217" s="630" t="str">
        <f t="shared" si="69"/>
        <v>KVI30001750</v>
      </c>
      <c r="E217" s="1046">
        <f t="shared" si="74"/>
        <v>2382.1956681000001</v>
      </c>
      <c r="F217" s="631">
        <v>21</v>
      </c>
      <c r="G217" s="632">
        <f>F217*CCBASE!$B$51</f>
        <v>756</v>
      </c>
      <c r="H217" s="632">
        <f>CCBASE!$I$12*B217/1000</f>
        <v>358.95161190000005</v>
      </c>
      <c r="I217" s="632"/>
      <c r="J217" s="632"/>
      <c r="K217" s="632"/>
      <c r="L217" s="632">
        <f>CCBASE!$I$14*B217/1000</f>
        <v>628.12096199999996</v>
      </c>
      <c r="M217" s="632"/>
      <c r="N217" s="632"/>
      <c r="O217" s="632">
        <f>CCBASE!$I$45*B217/1000</f>
        <v>29.910000000000004</v>
      </c>
      <c r="P217" s="632"/>
      <c r="Q217" s="632">
        <f>CCBASE!$H$51</f>
        <v>5.16</v>
      </c>
      <c r="R217" s="632">
        <f>CCBASE!$I$4</f>
        <v>8.3986041999999994</v>
      </c>
      <c r="S217" s="632">
        <f>CCBASE!$I$8</f>
        <v>16.25526</v>
      </c>
      <c r="T217" s="632">
        <f>CCBASE!$I$44</f>
        <v>94.69</v>
      </c>
      <c r="U217" s="631"/>
      <c r="V217" s="631"/>
      <c r="W217" s="632">
        <f>CCBASE!$I$42*B217/1000</f>
        <v>212.64176999999998</v>
      </c>
      <c r="X217" s="632"/>
      <c r="Y217" s="632"/>
      <c r="Z217" s="632"/>
      <c r="AA217" s="632"/>
      <c r="AB217" s="632"/>
      <c r="AC217" s="632"/>
      <c r="AD217" s="632">
        <f>CCBASE!$I$38*2</f>
        <v>272.06745999999998</v>
      </c>
    </row>
    <row r="218" spans="1:30" x14ac:dyDescent="0.2">
      <c r="A218" s="630" t="s">
        <v>131</v>
      </c>
      <c r="B218" s="630">
        <v>1000</v>
      </c>
      <c r="C218" s="630">
        <v>2000</v>
      </c>
      <c r="D218" s="630" t="str">
        <f t="shared" ref="D218:D226" si="84">A218&amp;B218&amp;C218</f>
        <v>KVI10002000</v>
      </c>
      <c r="E218" s="1046">
        <f t="shared" si="74"/>
        <v>1583.2254014999999</v>
      </c>
      <c r="F218" s="631">
        <v>20</v>
      </c>
      <c r="G218" s="632">
        <f>F218*CCBASE!$B$51</f>
        <v>720</v>
      </c>
      <c r="H218" s="632">
        <f>CCBASE!$I$12*B218/1000</f>
        <v>119.65053730000001</v>
      </c>
      <c r="I218" s="632"/>
      <c r="J218" s="632"/>
      <c r="K218" s="632"/>
      <c r="L218" s="632">
        <f>CCBASE!$I$14*B218/1000</f>
        <v>209.37365399999999</v>
      </c>
      <c r="M218" s="632"/>
      <c r="N218" s="632"/>
      <c r="O218" s="632">
        <f>CCBASE!$I$45*B218/1000</f>
        <v>9.9700000000000006</v>
      </c>
      <c r="P218" s="632"/>
      <c r="Q218" s="632">
        <f>CCBASE!$H$51</f>
        <v>5.16</v>
      </c>
      <c r="R218" s="632">
        <f>CCBASE!$I$4</f>
        <v>8.3986041999999994</v>
      </c>
      <c r="S218" s="632">
        <f>CCBASE!$I$8</f>
        <v>16.25526</v>
      </c>
      <c r="T218" s="632">
        <f>CCBASE!$I$44</f>
        <v>94.69</v>
      </c>
      <c r="U218" s="631"/>
      <c r="V218" s="631"/>
      <c r="W218" s="632">
        <f>CCBASE!$I$43*B218/1000</f>
        <v>88.624119999999991</v>
      </c>
      <c r="X218" s="632"/>
      <c r="Y218" s="632"/>
      <c r="Z218" s="632"/>
      <c r="AA218" s="632"/>
      <c r="AB218" s="632"/>
      <c r="AC218" s="632"/>
      <c r="AD218" s="632">
        <f>CCBASE!$I$39*2</f>
        <v>311.10322599999995</v>
      </c>
    </row>
    <row r="219" spans="1:30" x14ac:dyDescent="0.2">
      <c r="A219" s="630" t="s">
        <v>131</v>
      </c>
      <c r="B219" s="630">
        <v>1250</v>
      </c>
      <c r="C219" s="630">
        <v>2000</v>
      </c>
      <c r="D219" s="630" t="str">
        <f t="shared" ref="D219:D220" si="85">A219&amp;B219&amp;C219</f>
        <v>KVI12502000</v>
      </c>
      <c r="E219" s="1046">
        <f t="shared" si="74"/>
        <v>1667.9505668249999</v>
      </c>
      <c r="F219" s="631">
        <v>20</v>
      </c>
      <c r="G219" s="632">
        <f>F219*CCBASE!$B$51</f>
        <v>720</v>
      </c>
      <c r="H219" s="632">
        <f>CCBASE!$I$12*B219/1000</f>
        <v>149.56317162500002</v>
      </c>
      <c r="I219" s="632"/>
      <c r="J219" s="632"/>
      <c r="K219" s="632"/>
      <c r="L219" s="632">
        <f>CCBASE!$I$14*B219/1000</f>
        <v>261.71706749999998</v>
      </c>
      <c r="M219" s="632"/>
      <c r="N219" s="632"/>
      <c r="O219" s="632">
        <f>CCBASE!$I$45*B219/1000</f>
        <v>12.4625</v>
      </c>
      <c r="P219" s="632"/>
      <c r="Q219" s="632">
        <f>CCBASE!$H$51</f>
        <v>5.16</v>
      </c>
      <c r="R219" s="632">
        <f>CCBASE!$I$4</f>
        <v>8.3986041999999994</v>
      </c>
      <c r="S219" s="632">
        <f>CCBASE!$I$8</f>
        <v>16.25526</v>
      </c>
      <c r="T219" s="632">
        <f>CCBASE!$I$44</f>
        <v>94.69</v>
      </c>
      <c r="U219" s="631"/>
      <c r="V219" s="631"/>
      <c r="W219" s="632">
        <f>CCBASE!$I$42*B219/1000</f>
        <v>88.600737500000008</v>
      </c>
      <c r="X219" s="632"/>
      <c r="Y219" s="632"/>
      <c r="Z219" s="632"/>
      <c r="AA219" s="632"/>
      <c r="AB219" s="632"/>
      <c r="AC219" s="632"/>
      <c r="AD219" s="632">
        <f>CCBASE!$I$39*2</f>
        <v>311.10322599999995</v>
      </c>
    </row>
    <row r="220" spans="1:30" x14ac:dyDescent="0.2">
      <c r="A220" s="630" t="s">
        <v>131</v>
      </c>
      <c r="B220" s="630">
        <v>1500</v>
      </c>
      <c r="C220" s="630">
        <v>2000</v>
      </c>
      <c r="D220" s="630" t="str">
        <f t="shared" si="85"/>
        <v>KVI15002000</v>
      </c>
      <c r="E220" s="1046">
        <f t="shared" si="74"/>
        <v>1770.4192621499999</v>
      </c>
      <c r="F220" s="631">
        <v>20</v>
      </c>
      <c r="G220" s="632">
        <f>F220*CCBASE!$B$51</f>
        <v>720</v>
      </c>
      <c r="H220" s="632">
        <f>CCBASE!$I$12*B220/1000</f>
        <v>179.47580595000002</v>
      </c>
      <c r="I220" s="632"/>
      <c r="J220" s="632"/>
      <c r="K220" s="632"/>
      <c r="L220" s="632">
        <f>CCBASE!$I$14*B220/1000</f>
        <v>314.06048099999998</v>
      </c>
      <c r="M220" s="632"/>
      <c r="N220" s="632"/>
      <c r="O220" s="632">
        <f>CCBASE!$I$45*B220/1000</f>
        <v>14.955000000000002</v>
      </c>
      <c r="P220" s="632"/>
      <c r="Q220" s="632">
        <f>CCBASE!$H$51</f>
        <v>5.16</v>
      </c>
      <c r="R220" s="632">
        <f>CCBASE!$I$4</f>
        <v>8.3986041999999994</v>
      </c>
      <c r="S220" s="632">
        <f>CCBASE!$I$8</f>
        <v>16.25526</v>
      </c>
      <c r="T220" s="632">
        <f>CCBASE!$I$44</f>
        <v>94.69</v>
      </c>
      <c r="U220" s="631"/>
      <c r="V220" s="631"/>
      <c r="W220" s="632">
        <f>CCBASE!$I$42*B220/1000</f>
        <v>106.32088499999999</v>
      </c>
      <c r="X220" s="632"/>
      <c r="Y220" s="632"/>
      <c r="Z220" s="632"/>
      <c r="AA220" s="632"/>
      <c r="AB220" s="632"/>
      <c r="AC220" s="632"/>
      <c r="AD220" s="632">
        <f>CCBASE!$I$39*2</f>
        <v>311.10322599999995</v>
      </c>
    </row>
    <row r="221" spans="1:30" x14ac:dyDescent="0.2">
      <c r="A221" s="630" t="s">
        <v>131</v>
      </c>
      <c r="B221" s="630">
        <v>1750</v>
      </c>
      <c r="C221" s="630">
        <v>2000</v>
      </c>
      <c r="D221" s="630" t="str">
        <f t="shared" si="84"/>
        <v>KVI17502000</v>
      </c>
      <c r="E221" s="1046">
        <f t="shared" si="74"/>
        <v>1872.8879574749999</v>
      </c>
      <c r="F221" s="631">
        <v>20</v>
      </c>
      <c r="G221" s="632">
        <f>F221*CCBASE!$B$51</f>
        <v>720</v>
      </c>
      <c r="H221" s="632">
        <f>CCBASE!$I$12*B221/1000</f>
        <v>209.38844027500002</v>
      </c>
      <c r="I221" s="632"/>
      <c r="J221" s="632"/>
      <c r="K221" s="632"/>
      <c r="L221" s="632">
        <f>CCBASE!$I$14*B221/1000</f>
        <v>366.40389449999998</v>
      </c>
      <c r="M221" s="632"/>
      <c r="N221" s="632"/>
      <c r="O221" s="632">
        <f>CCBASE!$I$45*B221/1000</f>
        <v>17.447500000000002</v>
      </c>
      <c r="P221" s="632"/>
      <c r="Q221" s="632">
        <f>CCBASE!$H$51</f>
        <v>5.16</v>
      </c>
      <c r="R221" s="632">
        <f>CCBASE!$I$4</f>
        <v>8.3986041999999994</v>
      </c>
      <c r="S221" s="632">
        <f>CCBASE!$I$8</f>
        <v>16.25526</v>
      </c>
      <c r="T221" s="632">
        <f>CCBASE!$I$44</f>
        <v>94.69</v>
      </c>
      <c r="U221" s="631"/>
      <c r="V221" s="631"/>
      <c r="W221" s="632">
        <f>CCBASE!$I$42*B221/1000</f>
        <v>124.0410325</v>
      </c>
      <c r="X221" s="632"/>
      <c r="Y221" s="632"/>
      <c r="Z221" s="632"/>
      <c r="AA221" s="632"/>
      <c r="AB221" s="632"/>
      <c r="AC221" s="632"/>
      <c r="AD221" s="632">
        <f>CCBASE!$I$39*2</f>
        <v>311.10322599999995</v>
      </c>
    </row>
    <row r="222" spans="1:30" x14ac:dyDescent="0.2">
      <c r="A222" s="630" t="s">
        <v>131</v>
      </c>
      <c r="B222" s="630">
        <v>2000</v>
      </c>
      <c r="C222" s="630">
        <v>2000</v>
      </c>
      <c r="D222" s="630" t="str">
        <f t="shared" ref="D222" si="86">A222&amp;B222&amp;C222</f>
        <v>KVI20002000</v>
      </c>
      <c r="E222" s="1046">
        <f t="shared" si="74"/>
        <v>1975.3566527999999</v>
      </c>
      <c r="F222" s="631">
        <v>20</v>
      </c>
      <c r="G222" s="632">
        <f>F222*CCBASE!$B$51</f>
        <v>720</v>
      </c>
      <c r="H222" s="632">
        <f>CCBASE!$I$12*B222/1000</f>
        <v>239.30107460000002</v>
      </c>
      <c r="I222" s="632"/>
      <c r="J222" s="632"/>
      <c r="K222" s="632"/>
      <c r="L222" s="632">
        <f>CCBASE!$I$14*B222/1000</f>
        <v>418.74730799999998</v>
      </c>
      <c r="M222" s="632"/>
      <c r="N222" s="632"/>
      <c r="O222" s="632">
        <f>CCBASE!$I$45*B222/1000</f>
        <v>19.940000000000001</v>
      </c>
      <c r="P222" s="632"/>
      <c r="Q222" s="632">
        <f>CCBASE!$H$51</f>
        <v>5.16</v>
      </c>
      <c r="R222" s="632">
        <f>CCBASE!$I$4</f>
        <v>8.3986041999999994</v>
      </c>
      <c r="S222" s="632">
        <f>CCBASE!$I$8</f>
        <v>16.25526</v>
      </c>
      <c r="T222" s="632">
        <f>CCBASE!$I$44</f>
        <v>94.69</v>
      </c>
      <c r="U222" s="631"/>
      <c r="V222" s="631"/>
      <c r="W222" s="632">
        <f>CCBASE!$I$42*B222/1000</f>
        <v>141.76118</v>
      </c>
      <c r="X222" s="632"/>
      <c r="Y222" s="632"/>
      <c r="Z222" s="632"/>
      <c r="AA222" s="632"/>
      <c r="AB222" s="632"/>
      <c r="AC222" s="632"/>
      <c r="AD222" s="632">
        <f>CCBASE!$I$39*2</f>
        <v>311.10322599999995</v>
      </c>
    </row>
    <row r="223" spans="1:30" x14ac:dyDescent="0.2">
      <c r="A223" s="630" t="s">
        <v>131</v>
      </c>
      <c r="B223" s="630">
        <v>2250</v>
      </c>
      <c r="C223" s="630">
        <v>2000</v>
      </c>
      <c r="D223" s="630" t="str">
        <f t="shared" ref="D223" si="87">A223&amp;B223&amp;C223</f>
        <v>KVI22502000</v>
      </c>
      <c r="E223" s="1046">
        <f t="shared" si="74"/>
        <v>2113.8253481249994</v>
      </c>
      <c r="F223" s="631">
        <v>21</v>
      </c>
      <c r="G223" s="632">
        <f>F223*CCBASE!$B$51</f>
        <v>756</v>
      </c>
      <c r="H223" s="632">
        <f>CCBASE!$I$12*B223/1000</f>
        <v>269.21370892500005</v>
      </c>
      <c r="I223" s="632"/>
      <c r="J223" s="632"/>
      <c r="K223" s="632"/>
      <c r="L223" s="632">
        <f>CCBASE!$I$14*B223/1000</f>
        <v>471.09072149999997</v>
      </c>
      <c r="M223" s="632"/>
      <c r="N223" s="632"/>
      <c r="O223" s="632">
        <f>CCBASE!$I$45*B223/1000</f>
        <v>22.432500000000001</v>
      </c>
      <c r="P223" s="632"/>
      <c r="Q223" s="632">
        <f>CCBASE!$H$51</f>
        <v>5.16</v>
      </c>
      <c r="R223" s="632">
        <f>CCBASE!$I$4</f>
        <v>8.3986041999999994</v>
      </c>
      <c r="S223" s="632">
        <f>CCBASE!$I$8</f>
        <v>16.25526</v>
      </c>
      <c r="T223" s="632">
        <f>CCBASE!$I$44</f>
        <v>94.69</v>
      </c>
      <c r="U223" s="631"/>
      <c r="V223" s="631"/>
      <c r="W223" s="632">
        <f>CCBASE!$I$42*B223/1000</f>
        <v>159.48132749999999</v>
      </c>
      <c r="X223" s="632"/>
      <c r="Y223" s="632"/>
      <c r="Z223" s="632"/>
      <c r="AA223" s="632"/>
      <c r="AB223" s="632"/>
      <c r="AC223" s="632"/>
      <c r="AD223" s="632">
        <f>CCBASE!$I$39*2</f>
        <v>311.10322599999995</v>
      </c>
    </row>
    <row r="224" spans="1:30" x14ac:dyDescent="0.2">
      <c r="A224" s="630" t="s">
        <v>131</v>
      </c>
      <c r="B224" s="630">
        <v>2500</v>
      </c>
      <c r="C224" s="630">
        <v>2000</v>
      </c>
      <c r="D224" s="630" t="str">
        <f t="shared" si="84"/>
        <v>KVI25002000</v>
      </c>
      <c r="E224" s="1046">
        <f t="shared" si="74"/>
        <v>2216.2940434499997</v>
      </c>
      <c r="F224" s="631">
        <v>21</v>
      </c>
      <c r="G224" s="632">
        <f>F224*CCBASE!$B$51</f>
        <v>756</v>
      </c>
      <c r="H224" s="632">
        <f>CCBASE!$I$12*B224/1000</f>
        <v>299.12634325000005</v>
      </c>
      <c r="I224" s="632"/>
      <c r="J224" s="632"/>
      <c r="K224" s="632"/>
      <c r="L224" s="632">
        <f>CCBASE!$I$14*B224/1000</f>
        <v>523.43413499999997</v>
      </c>
      <c r="M224" s="632"/>
      <c r="N224" s="632"/>
      <c r="O224" s="632">
        <f>CCBASE!$I$45*B224/1000</f>
        <v>24.925000000000001</v>
      </c>
      <c r="P224" s="632"/>
      <c r="Q224" s="632">
        <f>CCBASE!$H$51</f>
        <v>5.16</v>
      </c>
      <c r="R224" s="632">
        <f>CCBASE!$I$4</f>
        <v>8.3986041999999994</v>
      </c>
      <c r="S224" s="632">
        <f>CCBASE!$I$8</f>
        <v>16.25526</v>
      </c>
      <c r="T224" s="632">
        <f>CCBASE!$I$44</f>
        <v>94.69</v>
      </c>
      <c r="U224" s="631"/>
      <c r="V224" s="631"/>
      <c r="W224" s="632">
        <f>CCBASE!$I$42*B224/1000</f>
        <v>177.20147500000002</v>
      </c>
      <c r="X224" s="632"/>
      <c r="Y224" s="632"/>
      <c r="Z224" s="632"/>
      <c r="AA224" s="632"/>
      <c r="AB224" s="632"/>
      <c r="AC224" s="632"/>
      <c r="AD224" s="632">
        <f>CCBASE!$I$39*2</f>
        <v>311.10322599999995</v>
      </c>
    </row>
    <row r="225" spans="1:45" x14ac:dyDescent="0.2">
      <c r="A225" s="630" t="s">
        <v>131</v>
      </c>
      <c r="B225" s="630">
        <v>2750</v>
      </c>
      <c r="C225" s="630">
        <v>2000</v>
      </c>
      <c r="D225" s="630" t="str">
        <f t="shared" ref="D225" si="88">A225&amp;B225&amp;C225</f>
        <v>KVI27502000</v>
      </c>
      <c r="E225" s="1046">
        <f t="shared" si="74"/>
        <v>2318.7627387749999</v>
      </c>
      <c r="F225" s="631">
        <v>21</v>
      </c>
      <c r="G225" s="632">
        <f>F225*CCBASE!$B$51</f>
        <v>756</v>
      </c>
      <c r="H225" s="632">
        <f>CCBASE!$I$12*B225/1000</f>
        <v>329.03897757500005</v>
      </c>
      <c r="I225" s="632"/>
      <c r="J225" s="632"/>
      <c r="K225" s="632"/>
      <c r="L225" s="632">
        <f>CCBASE!$I$14*B225/1000</f>
        <v>575.77754849999997</v>
      </c>
      <c r="M225" s="632"/>
      <c r="N225" s="632"/>
      <c r="O225" s="632">
        <f>CCBASE!$I$45*B225/1000</f>
        <v>27.4175</v>
      </c>
      <c r="P225" s="632"/>
      <c r="Q225" s="632">
        <f>CCBASE!$H$51</f>
        <v>5.16</v>
      </c>
      <c r="R225" s="632">
        <f>CCBASE!$I$4</f>
        <v>8.3986041999999994</v>
      </c>
      <c r="S225" s="632">
        <f>CCBASE!$I$8</f>
        <v>16.25526</v>
      </c>
      <c r="T225" s="632">
        <f>CCBASE!$I$44</f>
        <v>94.69</v>
      </c>
      <c r="U225" s="631"/>
      <c r="V225" s="631"/>
      <c r="W225" s="632">
        <f>CCBASE!$I$42*B225/1000</f>
        <v>194.92162249999998</v>
      </c>
      <c r="X225" s="632"/>
      <c r="Y225" s="632"/>
      <c r="Z225" s="632"/>
      <c r="AA225" s="632"/>
      <c r="AB225" s="632"/>
      <c r="AC225" s="632"/>
      <c r="AD225" s="632">
        <f>CCBASE!$I$39*2</f>
        <v>311.10322599999995</v>
      </c>
    </row>
    <row r="226" spans="1:45" x14ac:dyDescent="0.2">
      <c r="A226" s="630" t="s">
        <v>131</v>
      </c>
      <c r="B226" s="630">
        <v>3000</v>
      </c>
      <c r="C226" s="630">
        <v>2000</v>
      </c>
      <c r="D226" s="630" t="str">
        <f t="shared" si="84"/>
        <v>KVI30002000</v>
      </c>
      <c r="E226" s="1046">
        <f t="shared" si="74"/>
        <v>2421.2314341000001</v>
      </c>
      <c r="F226" s="631">
        <v>21</v>
      </c>
      <c r="G226" s="632">
        <f>F226*CCBASE!$B$51</f>
        <v>756</v>
      </c>
      <c r="H226" s="632">
        <f>CCBASE!$I$12*B226/1000</f>
        <v>358.95161190000005</v>
      </c>
      <c r="I226" s="632"/>
      <c r="J226" s="632"/>
      <c r="K226" s="632"/>
      <c r="L226" s="632">
        <f>CCBASE!$I$14*B226/1000</f>
        <v>628.12096199999996</v>
      </c>
      <c r="M226" s="632"/>
      <c r="N226" s="632"/>
      <c r="O226" s="632">
        <f>CCBASE!$I$45*B226/1000</f>
        <v>29.910000000000004</v>
      </c>
      <c r="P226" s="632"/>
      <c r="Q226" s="632">
        <f>CCBASE!$H$51</f>
        <v>5.16</v>
      </c>
      <c r="R226" s="632">
        <f>CCBASE!$I$4</f>
        <v>8.3986041999999994</v>
      </c>
      <c r="S226" s="632">
        <f>CCBASE!$I$8</f>
        <v>16.25526</v>
      </c>
      <c r="T226" s="632">
        <f>CCBASE!$I$44</f>
        <v>94.69</v>
      </c>
      <c r="U226" s="631"/>
      <c r="V226" s="631"/>
      <c r="W226" s="632">
        <f>CCBASE!$I$42*B226/1000</f>
        <v>212.64176999999998</v>
      </c>
      <c r="X226" s="632"/>
      <c r="Y226" s="632"/>
      <c r="Z226" s="632"/>
      <c r="AA226" s="632"/>
      <c r="AB226" s="632"/>
      <c r="AC226" s="632"/>
      <c r="AD226" s="632">
        <f>CCBASE!$I$39*2</f>
        <v>311.10322599999995</v>
      </c>
    </row>
    <row r="227" spans="1:45" x14ac:dyDescent="0.2">
      <c r="A227" s="630" t="s">
        <v>132</v>
      </c>
      <c r="B227" s="630">
        <v>1000</v>
      </c>
      <c r="C227" s="630">
        <v>1000</v>
      </c>
      <c r="D227" s="630" t="str">
        <f t="shared" si="69"/>
        <v>KVF10001000</v>
      </c>
      <c r="E227" s="1046">
        <f t="shared" si="74"/>
        <v>1655.7725005</v>
      </c>
      <c r="F227" s="631">
        <v>24.5</v>
      </c>
      <c r="G227" s="632">
        <f>F227*CCBASE!$B$51</f>
        <v>882</v>
      </c>
      <c r="H227" s="632">
        <f>CCBASE!$I$12*B227/1000</f>
        <v>119.65053730000001</v>
      </c>
      <c r="I227" s="632"/>
      <c r="J227" s="632"/>
      <c r="K227" s="632"/>
      <c r="L227" s="632">
        <f>CCBASE!$I$13*B227/1000</f>
        <v>239.537655</v>
      </c>
      <c r="M227" s="632"/>
      <c r="N227" s="632">
        <f>CCBASE!$I$7*B227/1000</f>
        <v>31.542280000000002</v>
      </c>
      <c r="O227" s="632">
        <f>CCBASE!$I$45*B227/1000</f>
        <v>9.9700000000000006</v>
      </c>
      <c r="P227" s="632"/>
      <c r="Q227" s="632">
        <f>CCBASE!$H$51</f>
        <v>5.16</v>
      </c>
      <c r="R227" s="632">
        <f>CCBASE!$I$4</f>
        <v>8.3986041999999994</v>
      </c>
      <c r="S227" s="632">
        <f>CCBASE!$I$8</f>
        <v>16.25526</v>
      </c>
      <c r="T227" s="632">
        <f>CCBASE!$I$44</f>
        <v>94.69</v>
      </c>
      <c r="U227" s="632">
        <f>CCBASE!$I$47</f>
        <v>14.41</v>
      </c>
      <c r="V227" s="632">
        <f>CCBASE!$I$46/2</f>
        <v>1.22</v>
      </c>
      <c r="W227" s="632">
        <f>CCBASE!$I$40*B227/1000</f>
        <v>41.308039999999998</v>
      </c>
      <c r="X227" s="632"/>
      <c r="Y227" s="632"/>
      <c r="Z227" s="632"/>
      <c r="AA227" s="632"/>
      <c r="AB227" s="632"/>
      <c r="AC227" s="632"/>
      <c r="AD227" s="632">
        <f>CCBASE!$I$36*2</f>
        <v>191.630124</v>
      </c>
      <c r="AI227" s="634"/>
      <c r="AJ227" s="634"/>
      <c r="AK227" s="635"/>
      <c r="AL227" s="635"/>
      <c r="AM227" s="635"/>
      <c r="AN227" s="635"/>
      <c r="AO227" s="635"/>
      <c r="AP227" s="635"/>
      <c r="AQ227" s="635"/>
      <c r="AR227" s="635"/>
      <c r="AS227" s="635"/>
    </row>
    <row r="228" spans="1:45" x14ac:dyDescent="0.2">
      <c r="A228" s="630" t="s">
        <v>132</v>
      </c>
      <c r="B228" s="630">
        <v>1250</v>
      </c>
      <c r="C228" s="630">
        <v>1000</v>
      </c>
      <c r="D228" s="630" t="str">
        <f>A228&amp;B228&amp;C228</f>
        <v>KVF12501000</v>
      </c>
      <c r="E228" s="1046">
        <f t="shared" si="74"/>
        <v>1780.6846285750003</v>
      </c>
      <c r="F228" s="631">
        <v>24.5</v>
      </c>
      <c r="G228" s="632">
        <f>F228*CCBASE!$B$51</f>
        <v>882</v>
      </c>
      <c r="H228" s="632">
        <f>CCBASE!$I$12*B228/1000</f>
        <v>149.56317162500002</v>
      </c>
      <c r="I228" s="632"/>
      <c r="J228" s="632"/>
      <c r="K228" s="632"/>
      <c r="L228" s="632">
        <f>CCBASE!$I$13*B228/1000</f>
        <v>299.42206874999999</v>
      </c>
      <c r="M228" s="632"/>
      <c r="N228" s="632">
        <f>CCBASE!$I$7*B228/1000</f>
        <v>39.427849999999999</v>
      </c>
      <c r="O228" s="632">
        <f>CCBASE!$I$45*B228/1000</f>
        <v>12.4625</v>
      </c>
      <c r="P228" s="632"/>
      <c r="Q228" s="632">
        <f>CCBASE!$H$51</f>
        <v>5.16</v>
      </c>
      <c r="R228" s="632">
        <f>CCBASE!$I$4</f>
        <v>8.3986041999999994</v>
      </c>
      <c r="S228" s="632">
        <f>CCBASE!$I$8</f>
        <v>16.25526</v>
      </c>
      <c r="T228" s="632">
        <f>CCBASE!$I$44</f>
        <v>94.69</v>
      </c>
      <c r="U228" s="632">
        <f>CCBASE!$I$47*2</f>
        <v>28.82</v>
      </c>
      <c r="V228" s="632">
        <f>CCBASE!$I$46/2</f>
        <v>1.22</v>
      </c>
      <c r="W228" s="632">
        <f>CCBASE!$I$40*B228/1000</f>
        <v>51.635049999999993</v>
      </c>
      <c r="X228" s="632"/>
      <c r="Y228" s="632"/>
      <c r="Z228" s="632"/>
      <c r="AA228" s="632"/>
      <c r="AB228" s="632"/>
      <c r="AC228" s="632"/>
      <c r="AD228" s="632">
        <f>CCBASE!$I$36*2</f>
        <v>191.630124</v>
      </c>
      <c r="AJ228" s="638"/>
    </row>
    <row r="229" spans="1:45" x14ac:dyDescent="0.2">
      <c r="A229" s="630" t="s">
        <v>132</v>
      </c>
      <c r="B229" s="630">
        <v>1500</v>
      </c>
      <c r="C229" s="630">
        <v>1000</v>
      </c>
      <c r="D229" s="630" t="str">
        <f>A229&amp;B229&amp;C229</f>
        <v>KVF15001000</v>
      </c>
      <c r="E229" s="1046">
        <f t="shared" si="74"/>
        <v>1891.1867566499998</v>
      </c>
      <c r="F229" s="631">
        <v>24.5</v>
      </c>
      <c r="G229" s="632">
        <f>F229*CCBASE!$B$51</f>
        <v>882</v>
      </c>
      <c r="H229" s="632">
        <f>CCBASE!$I$12*B229/1000</f>
        <v>179.47580595000002</v>
      </c>
      <c r="I229" s="632"/>
      <c r="J229" s="632"/>
      <c r="K229" s="632"/>
      <c r="L229" s="632">
        <f>CCBASE!$I$13*B229/1000</f>
        <v>359.30648249999996</v>
      </c>
      <c r="M229" s="632"/>
      <c r="N229" s="632">
        <f>CCBASE!$I$7*B229/1000</f>
        <v>47.313420000000008</v>
      </c>
      <c r="O229" s="632">
        <f>CCBASE!$I$45*B229/1000</f>
        <v>14.955000000000002</v>
      </c>
      <c r="P229" s="632"/>
      <c r="Q229" s="632">
        <f>CCBASE!$H$51</f>
        <v>5.16</v>
      </c>
      <c r="R229" s="632">
        <f>CCBASE!$I$4</f>
        <v>8.3986041999999994</v>
      </c>
      <c r="S229" s="632">
        <f>CCBASE!$I$8</f>
        <v>16.25526</v>
      </c>
      <c r="T229" s="632">
        <f>CCBASE!$I$44</f>
        <v>94.69</v>
      </c>
      <c r="U229" s="632">
        <f>CCBASE!$I$47*2</f>
        <v>28.82</v>
      </c>
      <c r="V229" s="632">
        <f>CCBASE!$I$46/2</f>
        <v>1.22</v>
      </c>
      <c r="W229" s="632">
        <f>CCBASE!$I$40*B229/1000</f>
        <v>61.962060000000001</v>
      </c>
      <c r="X229" s="632"/>
      <c r="Y229" s="632"/>
      <c r="Z229" s="632"/>
      <c r="AA229" s="632"/>
      <c r="AB229" s="632"/>
      <c r="AC229" s="632"/>
      <c r="AD229" s="632">
        <f>CCBASE!$I$36*2</f>
        <v>191.630124</v>
      </c>
      <c r="AJ229" s="638"/>
    </row>
    <row r="230" spans="1:45" x14ac:dyDescent="0.2">
      <c r="A230" s="630" t="s">
        <v>132</v>
      </c>
      <c r="B230" s="630">
        <v>1750</v>
      </c>
      <c r="C230" s="630">
        <v>1000</v>
      </c>
      <c r="D230" s="630" t="str">
        <f t="shared" ref="D230" si="89">A230&amp;B230&amp;C230</f>
        <v>KVF17501000</v>
      </c>
      <c r="E230" s="1046">
        <f t="shared" si="74"/>
        <v>2002.908884725</v>
      </c>
      <c r="F230" s="631">
        <v>24.5</v>
      </c>
      <c r="G230" s="632">
        <f>F230*CCBASE!$B$51</f>
        <v>882</v>
      </c>
      <c r="H230" s="632">
        <f>CCBASE!$I$12*B230/1000</f>
        <v>209.38844027500002</v>
      </c>
      <c r="I230" s="632"/>
      <c r="J230" s="632"/>
      <c r="K230" s="632"/>
      <c r="L230" s="632">
        <f>CCBASE!$I$13*B230/1000</f>
        <v>419.19089624999998</v>
      </c>
      <c r="M230" s="632"/>
      <c r="N230" s="632">
        <f>CCBASE!$I$7*B230/1000</f>
        <v>55.198990000000002</v>
      </c>
      <c r="O230" s="632">
        <f>CCBASE!$I$45*B230/1000</f>
        <v>17.447500000000002</v>
      </c>
      <c r="P230" s="632"/>
      <c r="Q230" s="632">
        <f>CCBASE!$H$51</f>
        <v>5.16</v>
      </c>
      <c r="R230" s="632">
        <f>CCBASE!$I$4</f>
        <v>8.3986041999999994</v>
      </c>
      <c r="S230" s="632">
        <f>CCBASE!$I$8</f>
        <v>16.25526</v>
      </c>
      <c r="T230" s="632">
        <f>CCBASE!$I$44</f>
        <v>94.69</v>
      </c>
      <c r="U230" s="632">
        <f>CCBASE!$I$47*2</f>
        <v>28.82</v>
      </c>
      <c r="V230" s="632">
        <f>CCBASE!$I$46</f>
        <v>2.44</v>
      </c>
      <c r="W230" s="632">
        <f>CCBASE!$I$40*B230/1000</f>
        <v>72.289069999999995</v>
      </c>
      <c r="X230" s="632"/>
      <c r="Y230" s="632"/>
      <c r="Z230" s="632"/>
      <c r="AA230" s="632"/>
      <c r="AB230" s="632"/>
      <c r="AC230" s="632"/>
      <c r="AD230" s="632">
        <f>CCBASE!$I$36*2</f>
        <v>191.630124</v>
      </c>
    </row>
    <row r="231" spans="1:45" x14ac:dyDescent="0.2">
      <c r="A231" s="630" t="s">
        <v>132</v>
      </c>
      <c r="B231" s="630">
        <v>2000</v>
      </c>
      <c r="C231" s="630">
        <v>1000</v>
      </c>
      <c r="D231" s="630" t="str">
        <f t="shared" ref="D231:D307" si="90">A231&amp;B231&amp;C231</f>
        <v>KVF20001000</v>
      </c>
      <c r="E231" s="1046">
        <f t="shared" si="74"/>
        <v>2113.4110127999998</v>
      </c>
      <c r="F231" s="631">
        <v>24.5</v>
      </c>
      <c r="G231" s="632">
        <f>F231*CCBASE!$B$51</f>
        <v>882</v>
      </c>
      <c r="H231" s="632">
        <f>CCBASE!$I$12*B231/1000</f>
        <v>239.30107460000002</v>
      </c>
      <c r="I231" s="632"/>
      <c r="J231" s="632"/>
      <c r="K231" s="632"/>
      <c r="L231" s="632">
        <f>CCBASE!$I$13*B231/1000</f>
        <v>479.07531</v>
      </c>
      <c r="M231" s="632"/>
      <c r="N231" s="632">
        <f>CCBASE!$I$7*B231/1000</f>
        <v>63.084560000000003</v>
      </c>
      <c r="O231" s="632">
        <f>CCBASE!$I$45*B231/1000</f>
        <v>19.940000000000001</v>
      </c>
      <c r="P231" s="632"/>
      <c r="Q231" s="632">
        <f>CCBASE!$H$51</f>
        <v>5.16</v>
      </c>
      <c r="R231" s="632">
        <f>CCBASE!$I$4</f>
        <v>8.3986041999999994</v>
      </c>
      <c r="S231" s="632">
        <f>CCBASE!$I$8</f>
        <v>16.25526</v>
      </c>
      <c r="T231" s="632">
        <f>CCBASE!$I$44</f>
        <v>94.69</v>
      </c>
      <c r="U231" s="632">
        <f>CCBASE!$I$47*2</f>
        <v>28.82</v>
      </c>
      <c r="V231" s="632">
        <f>CCBASE!$I$46</f>
        <v>2.44</v>
      </c>
      <c r="W231" s="632">
        <f>CCBASE!$I$40*B231/1000</f>
        <v>82.616079999999997</v>
      </c>
      <c r="X231" s="632"/>
      <c r="Y231" s="632"/>
      <c r="Z231" s="632"/>
      <c r="AA231" s="632"/>
      <c r="AB231" s="632"/>
      <c r="AC231" s="632"/>
      <c r="AD231" s="632">
        <f>CCBASE!$I$36*2</f>
        <v>191.630124</v>
      </c>
    </row>
    <row r="232" spans="1:45" x14ac:dyDescent="0.2">
      <c r="A232" s="630" t="s">
        <v>132</v>
      </c>
      <c r="B232" s="630">
        <v>2250</v>
      </c>
      <c r="C232" s="630">
        <v>1000</v>
      </c>
      <c r="D232" s="630" t="str">
        <f t="shared" ref="D232" si="91">A232&amp;B232&amp;C232</f>
        <v>KVF22501000</v>
      </c>
      <c r="E232" s="1046">
        <f t="shared" si="74"/>
        <v>2259.9131408749995</v>
      </c>
      <c r="F232" s="631">
        <v>25.5</v>
      </c>
      <c r="G232" s="632">
        <f>F232*CCBASE!$B$51</f>
        <v>918</v>
      </c>
      <c r="H232" s="632">
        <f>CCBASE!$I$12*B232/1000</f>
        <v>269.21370892500005</v>
      </c>
      <c r="I232" s="632"/>
      <c r="J232" s="632"/>
      <c r="K232" s="632"/>
      <c r="L232" s="632">
        <f>CCBASE!$I$13*B232/1000</f>
        <v>538.95972374999997</v>
      </c>
      <c r="M232" s="632"/>
      <c r="N232" s="632">
        <f>CCBASE!$I$7*B232/1000</f>
        <v>70.970130000000012</v>
      </c>
      <c r="O232" s="632">
        <f>CCBASE!$I$45*B232/1000</f>
        <v>22.432500000000001</v>
      </c>
      <c r="P232" s="632"/>
      <c r="Q232" s="632">
        <f>CCBASE!$H$51</f>
        <v>5.16</v>
      </c>
      <c r="R232" s="632">
        <f>CCBASE!$I$4</f>
        <v>8.3986041999999994</v>
      </c>
      <c r="S232" s="632">
        <f>CCBASE!$I$8</f>
        <v>16.25526</v>
      </c>
      <c r="T232" s="632">
        <f>CCBASE!$I$44</f>
        <v>94.69</v>
      </c>
      <c r="U232" s="632">
        <f>CCBASE!$I$47*2</f>
        <v>28.82</v>
      </c>
      <c r="V232" s="632">
        <f>CCBASE!$I$46</f>
        <v>2.44</v>
      </c>
      <c r="W232" s="632">
        <f>CCBASE!$I$40*B232/1000</f>
        <v>92.943089999999998</v>
      </c>
      <c r="X232" s="632"/>
      <c r="Y232" s="632"/>
      <c r="Z232" s="632"/>
      <c r="AA232" s="632"/>
      <c r="AB232" s="632"/>
      <c r="AC232" s="632"/>
      <c r="AD232" s="632">
        <f>CCBASE!$I$36*2</f>
        <v>191.630124</v>
      </c>
    </row>
    <row r="233" spans="1:45" x14ac:dyDescent="0.2">
      <c r="A233" s="630" t="s">
        <v>132</v>
      </c>
      <c r="B233" s="630">
        <v>2500</v>
      </c>
      <c r="C233" s="630">
        <v>1000</v>
      </c>
      <c r="D233" s="630" t="str">
        <f t="shared" si="90"/>
        <v>KVF25001000</v>
      </c>
      <c r="E233" s="1046">
        <f t="shared" si="74"/>
        <v>2370.4152689500002</v>
      </c>
      <c r="F233" s="631">
        <v>25.5</v>
      </c>
      <c r="G233" s="632">
        <f>F233*CCBASE!$B$51</f>
        <v>918</v>
      </c>
      <c r="H233" s="632">
        <f>CCBASE!$I$12*B233/1000</f>
        <v>299.12634325000005</v>
      </c>
      <c r="I233" s="632"/>
      <c r="J233" s="632"/>
      <c r="K233" s="632"/>
      <c r="L233" s="632">
        <f>CCBASE!$I$13*B233/1000</f>
        <v>598.84413749999999</v>
      </c>
      <c r="M233" s="632"/>
      <c r="N233" s="632">
        <f>CCBASE!$I$7*B233/1000</f>
        <v>78.855699999999999</v>
      </c>
      <c r="O233" s="632">
        <f>CCBASE!$I$45*B233/1000</f>
        <v>24.925000000000001</v>
      </c>
      <c r="P233" s="632"/>
      <c r="Q233" s="632">
        <f>CCBASE!$H$51</f>
        <v>5.16</v>
      </c>
      <c r="R233" s="632">
        <f>CCBASE!$I$4</f>
        <v>8.3986041999999994</v>
      </c>
      <c r="S233" s="632">
        <f>CCBASE!$I$8</f>
        <v>16.25526</v>
      </c>
      <c r="T233" s="632">
        <f>CCBASE!$I$44</f>
        <v>94.69</v>
      </c>
      <c r="U233" s="632">
        <f>CCBASE!$I$47*2</f>
        <v>28.82</v>
      </c>
      <c r="V233" s="632">
        <f>CCBASE!$I$46</f>
        <v>2.44</v>
      </c>
      <c r="W233" s="632">
        <f>CCBASE!$I$40*B233/1000</f>
        <v>103.27009999999999</v>
      </c>
      <c r="X233" s="632"/>
      <c r="Y233" s="632"/>
      <c r="Z233" s="632"/>
      <c r="AA233" s="632"/>
      <c r="AB233" s="632"/>
      <c r="AC233" s="632"/>
      <c r="AD233" s="632">
        <f>CCBASE!$I$36*2</f>
        <v>191.630124</v>
      </c>
    </row>
    <row r="234" spans="1:45" x14ac:dyDescent="0.2">
      <c r="A234" s="630" t="s">
        <v>132</v>
      </c>
      <c r="B234" s="630">
        <v>2750</v>
      </c>
      <c r="C234" s="630">
        <v>1000</v>
      </c>
      <c r="D234" s="630" t="str">
        <f t="shared" ref="D234" si="92">A234&amp;B234&amp;C234</f>
        <v>KVF27501000</v>
      </c>
      <c r="E234" s="1046">
        <f t="shared" si="74"/>
        <v>2480.9173970250004</v>
      </c>
      <c r="F234" s="631">
        <v>25.5</v>
      </c>
      <c r="G234" s="632">
        <f>F234*CCBASE!$B$51</f>
        <v>918</v>
      </c>
      <c r="H234" s="632">
        <f>CCBASE!$I$12*B234/1000</f>
        <v>329.03897757500005</v>
      </c>
      <c r="I234" s="632"/>
      <c r="J234" s="632"/>
      <c r="K234" s="632"/>
      <c r="L234" s="632">
        <f>CCBASE!$I$13*B234/1000</f>
        <v>658.72855125000001</v>
      </c>
      <c r="M234" s="632"/>
      <c r="N234" s="632">
        <f>CCBASE!$I$7*B234/1000</f>
        <v>86.74127</v>
      </c>
      <c r="O234" s="632">
        <f>CCBASE!$I$45*B234/1000</f>
        <v>27.4175</v>
      </c>
      <c r="P234" s="632"/>
      <c r="Q234" s="632">
        <f>CCBASE!$H$51</f>
        <v>5.16</v>
      </c>
      <c r="R234" s="632">
        <f>CCBASE!$I$4</f>
        <v>8.3986041999999994</v>
      </c>
      <c r="S234" s="632">
        <f>CCBASE!$I$8</f>
        <v>16.25526</v>
      </c>
      <c r="T234" s="632">
        <f>CCBASE!$I$44</f>
        <v>94.69</v>
      </c>
      <c r="U234" s="632">
        <f>CCBASE!$I$47*2</f>
        <v>28.82</v>
      </c>
      <c r="V234" s="632">
        <f>CCBASE!$I$46</f>
        <v>2.44</v>
      </c>
      <c r="W234" s="632">
        <f>CCBASE!$I$40*B234/1000</f>
        <v>113.59711</v>
      </c>
      <c r="X234" s="632"/>
      <c r="Y234" s="632"/>
      <c r="Z234" s="632"/>
      <c r="AA234" s="632"/>
      <c r="AB234" s="632"/>
      <c r="AC234" s="632"/>
      <c r="AD234" s="632">
        <f>CCBASE!$I$36*2</f>
        <v>191.630124</v>
      </c>
    </row>
    <row r="235" spans="1:45" x14ac:dyDescent="0.2">
      <c r="A235" s="630" t="s">
        <v>132</v>
      </c>
      <c r="B235" s="630">
        <v>3000</v>
      </c>
      <c r="C235" s="630">
        <v>1000</v>
      </c>
      <c r="D235" s="630" t="str">
        <f t="shared" si="90"/>
        <v>KVF30001000</v>
      </c>
      <c r="E235" s="1046">
        <f t="shared" si="74"/>
        <v>2591.4195250999996</v>
      </c>
      <c r="F235" s="631">
        <v>25.5</v>
      </c>
      <c r="G235" s="632">
        <f>F235*CCBASE!$B$51</f>
        <v>918</v>
      </c>
      <c r="H235" s="632">
        <f>CCBASE!$I$12*B235/1000</f>
        <v>358.95161190000005</v>
      </c>
      <c r="I235" s="632"/>
      <c r="J235" s="632"/>
      <c r="K235" s="632"/>
      <c r="L235" s="632">
        <f>CCBASE!$I$13*B235/1000</f>
        <v>718.61296499999992</v>
      </c>
      <c r="M235" s="632"/>
      <c r="N235" s="632">
        <f>CCBASE!$I$7*B235/1000</f>
        <v>94.626840000000016</v>
      </c>
      <c r="O235" s="632">
        <f>CCBASE!$I$45*B235/1000</f>
        <v>29.910000000000004</v>
      </c>
      <c r="P235" s="632"/>
      <c r="Q235" s="632">
        <f>CCBASE!$H$51</f>
        <v>5.16</v>
      </c>
      <c r="R235" s="632">
        <f>CCBASE!$I$4</f>
        <v>8.3986041999999994</v>
      </c>
      <c r="S235" s="632">
        <f>CCBASE!$I$8</f>
        <v>16.25526</v>
      </c>
      <c r="T235" s="632">
        <f>CCBASE!$I$44</f>
        <v>94.69</v>
      </c>
      <c r="U235" s="632">
        <f>CCBASE!$I$47*2</f>
        <v>28.82</v>
      </c>
      <c r="V235" s="632">
        <f>CCBASE!$I$46</f>
        <v>2.44</v>
      </c>
      <c r="W235" s="632">
        <f>CCBASE!$I$40*B235/1000</f>
        <v>123.92412</v>
      </c>
      <c r="X235" s="632"/>
      <c r="Y235" s="632"/>
      <c r="Z235" s="632"/>
      <c r="AA235" s="632"/>
      <c r="AB235" s="632"/>
      <c r="AC235" s="632"/>
      <c r="AD235" s="632">
        <f>CCBASE!$I$36*2</f>
        <v>191.630124</v>
      </c>
    </row>
    <row r="236" spans="1:45" x14ac:dyDescent="0.2">
      <c r="A236" s="630" t="s">
        <v>132</v>
      </c>
      <c r="B236" s="630">
        <v>1000</v>
      </c>
      <c r="C236" s="630">
        <v>1250</v>
      </c>
      <c r="D236" s="630" t="str">
        <f t="shared" si="90"/>
        <v>KVF10001250</v>
      </c>
      <c r="E236" s="1046">
        <f t="shared" si="74"/>
        <v>1655.7725005</v>
      </c>
      <c r="F236" s="631">
        <v>24.5</v>
      </c>
      <c r="G236" s="632">
        <f>F236*CCBASE!$B$51</f>
        <v>882</v>
      </c>
      <c r="H236" s="632">
        <f>CCBASE!$I$12*B236/1000</f>
        <v>119.65053730000001</v>
      </c>
      <c r="I236" s="632"/>
      <c r="J236" s="632"/>
      <c r="K236" s="632"/>
      <c r="L236" s="632">
        <f>CCBASE!$I$13*B236/1000</f>
        <v>239.537655</v>
      </c>
      <c r="M236" s="632"/>
      <c r="N236" s="632">
        <f>CCBASE!$I$7*B236/1000</f>
        <v>31.542280000000002</v>
      </c>
      <c r="O236" s="632">
        <f>CCBASE!$I$45*B236/1000</f>
        <v>9.9700000000000006</v>
      </c>
      <c r="P236" s="632"/>
      <c r="Q236" s="632">
        <f>CCBASE!$H$51</f>
        <v>5.16</v>
      </c>
      <c r="R236" s="632">
        <f>CCBASE!$I$4</f>
        <v>8.3986041999999994</v>
      </c>
      <c r="S236" s="632">
        <f>CCBASE!$I$8</f>
        <v>16.25526</v>
      </c>
      <c r="T236" s="632">
        <f>CCBASE!$I$44</f>
        <v>94.69</v>
      </c>
      <c r="U236" s="632">
        <f>CCBASE!$I$47</f>
        <v>14.41</v>
      </c>
      <c r="V236" s="632">
        <f>CCBASE!$I$46/2</f>
        <v>1.22</v>
      </c>
      <c r="W236" s="632">
        <f>CCBASE!$I$40*B236/1000</f>
        <v>41.308039999999998</v>
      </c>
      <c r="X236" s="632"/>
      <c r="Y236" s="632"/>
      <c r="Z236" s="632"/>
      <c r="AA236" s="632"/>
      <c r="AB236" s="632"/>
      <c r="AC236" s="632"/>
      <c r="AD236" s="632">
        <f>CCBASE!$I$36*2</f>
        <v>191.630124</v>
      </c>
    </row>
    <row r="237" spans="1:45" x14ac:dyDescent="0.2">
      <c r="A237" s="630" t="s">
        <v>132</v>
      </c>
      <c r="B237" s="630">
        <v>1250</v>
      </c>
      <c r="C237" s="630">
        <v>1250</v>
      </c>
      <c r="D237" s="630" t="str">
        <f t="shared" ref="D237" si="93">A237&amp;B237&amp;C237</f>
        <v>KVF12501250</v>
      </c>
      <c r="E237" s="1046">
        <f t="shared" si="74"/>
        <v>1780.6846285750003</v>
      </c>
      <c r="F237" s="631">
        <v>24.5</v>
      </c>
      <c r="G237" s="632">
        <f>F237*CCBASE!$B$51</f>
        <v>882</v>
      </c>
      <c r="H237" s="632">
        <f>CCBASE!$I$12*B237/1000</f>
        <v>149.56317162500002</v>
      </c>
      <c r="I237" s="632"/>
      <c r="J237" s="632"/>
      <c r="K237" s="632"/>
      <c r="L237" s="632">
        <f>CCBASE!$I$13*B237/1000</f>
        <v>299.42206874999999</v>
      </c>
      <c r="M237" s="632"/>
      <c r="N237" s="632">
        <f>CCBASE!$I$7*B237/1000</f>
        <v>39.427849999999999</v>
      </c>
      <c r="O237" s="632">
        <f>CCBASE!$I$45*B237/1000</f>
        <v>12.4625</v>
      </c>
      <c r="P237" s="632"/>
      <c r="Q237" s="632">
        <f>CCBASE!$H$51</f>
        <v>5.16</v>
      </c>
      <c r="R237" s="632">
        <f>CCBASE!$I$4</f>
        <v>8.3986041999999994</v>
      </c>
      <c r="S237" s="632">
        <f>CCBASE!$I$8</f>
        <v>16.25526</v>
      </c>
      <c r="T237" s="632">
        <f>CCBASE!$I$44</f>
        <v>94.69</v>
      </c>
      <c r="U237" s="632">
        <f>CCBASE!$I$47*2</f>
        <v>28.82</v>
      </c>
      <c r="V237" s="632">
        <f>CCBASE!$I$46/2</f>
        <v>1.22</v>
      </c>
      <c r="W237" s="632">
        <f>CCBASE!$I$40*B237/1000</f>
        <v>51.635049999999993</v>
      </c>
      <c r="X237" s="632"/>
      <c r="Y237" s="632"/>
      <c r="Z237" s="632"/>
      <c r="AA237" s="632"/>
      <c r="AB237" s="632"/>
      <c r="AC237" s="632"/>
      <c r="AD237" s="632">
        <f>CCBASE!$I$36*2</f>
        <v>191.630124</v>
      </c>
    </row>
    <row r="238" spans="1:45" x14ac:dyDescent="0.2">
      <c r="A238" s="630" t="s">
        <v>132</v>
      </c>
      <c r="B238" s="630">
        <v>1500</v>
      </c>
      <c r="C238" s="630">
        <v>1250</v>
      </c>
      <c r="D238" s="630" t="str">
        <f t="shared" si="90"/>
        <v>KVF15001250</v>
      </c>
      <c r="E238" s="1046">
        <f t="shared" si="74"/>
        <v>1891.1867566499998</v>
      </c>
      <c r="F238" s="631">
        <v>24.5</v>
      </c>
      <c r="G238" s="632">
        <f>F238*CCBASE!$B$51</f>
        <v>882</v>
      </c>
      <c r="H238" s="632">
        <f>CCBASE!$I$12*B238/1000</f>
        <v>179.47580595000002</v>
      </c>
      <c r="I238" s="632"/>
      <c r="J238" s="632"/>
      <c r="K238" s="632"/>
      <c r="L238" s="632">
        <f>CCBASE!$I$13*B238/1000</f>
        <v>359.30648249999996</v>
      </c>
      <c r="M238" s="632"/>
      <c r="N238" s="632">
        <f>CCBASE!$I$7*B238/1000</f>
        <v>47.313420000000008</v>
      </c>
      <c r="O238" s="632">
        <f>CCBASE!$I$45*B238/1000</f>
        <v>14.955000000000002</v>
      </c>
      <c r="P238" s="632"/>
      <c r="Q238" s="632">
        <f>CCBASE!$H$51</f>
        <v>5.16</v>
      </c>
      <c r="R238" s="632">
        <f>CCBASE!$I$4</f>
        <v>8.3986041999999994</v>
      </c>
      <c r="S238" s="632">
        <f>CCBASE!$I$8</f>
        <v>16.25526</v>
      </c>
      <c r="T238" s="632">
        <f>CCBASE!$I$44</f>
        <v>94.69</v>
      </c>
      <c r="U238" s="632">
        <f>CCBASE!$I$47*2</f>
        <v>28.82</v>
      </c>
      <c r="V238" s="632">
        <f>CCBASE!$I$46/2</f>
        <v>1.22</v>
      </c>
      <c r="W238" s="632">
        <f>CCBASE!$I$40*B238/1000</f>
        <v>61.962060000000001</v>
      </c>
      <c r="X238" s="632"/>
      <c r="Y238" s="632"/>
      <c r="Z238" s="632"/>
      <c r="AA238" s="632"/>
      <c r="AB238" s="632"/>
      <c r="AC238" s="632"/>
      <c r="AD238" s="632">
        <f>CCBASE!$I$36*2</f>
        <v>191.630124</v>
      </c>
    </row>
    <row r="239" spans="1:45" x14ac:dyDescent="0.2">
      <c r="A239" s="630" t="s">
        <v>132</v>
      </c>
      <c r="B239" s="630">
        <v>1750</v>
      </c>
      <c r="C239" s="630">
        <v>1250</v>
      </c>
      <c r="D239" s="630" t="str">
        <f t="shared" si="90"/>
        <v>KVF17501250</v>
      </c>
      <c r="E239" s="1046">
        <f t="shared" si="74"/>
        <v>2002.908884725</v>
      </c>
      <c r="F239" s="631">
        <v>24.5</v>
      </c>
      <c r="G239" s="632">
        <f>F239*CCBASE!$B$51</f>
        <v>882</v>
      </c>
      <c r="H239" s="632">
        <f>CCBASE!$I$12*B239/1000</f>
        <v>209.38844027500002</v>
      </c>
      <c r="I239" s="632"/>
      <c r="J239" s="632"/>
      <c r="K239" s="632"/>
      <c r="L239" s="632">
        <f>CCBASE!$I$13*B239/1000</f>
        <v>419.19089624999998</v>
      </c>
      <c r="M239" s="632"/>
      <c r="N239" s="632">
        <f>CCBASE!$I$7*B239/1000</f>
        <v>55.198990000000002</v>
      </c>
      <c r="O239" s="632">
        <f>CCBASE!$I$45*B239/1000</f>
        <v>17.447500000000002</v>
      </c>
      <c r="P239" s="632"/>
      <c r="Q239" s="632">
        <f>CCBASE!$H$51</f>
        <v>5.16</v>
      </c>
      <c r="R239" s="632">
        <f>CCBASE!$I$4</f>
        <v>8.3986041999999994</v>
      </c>
      <c r="S239" s="632">
        <f>CCBASE!$I$8</f>
        <v>16.25526</v>
      </c>
      <c r="T239" s="632">
        <f>CCBASE!$I$44</f>
        <v>94.69</v>
      </c>
      <c r="U239" s="632">
        <f>CCBASE!$I$47*2</f>
        <v>28.82</v>
      </c>
      <c r="V239" s="632">
        <f>CCBASE!$I$46</f>
        <v>2.44</v>
      </c>
      <c r="W239" s="632">
        <f>CCBASE!$I$40*B239/1000</f>
        <v>72.289069999999995</v>
      </c>
      <c r="X239" s="632"/>
      <c r="Y239" s="632"/>
      <c r="Z239" s="632"/>
      <c r="AA239" s="632"/>
      <c r="AB239" s="632"/>
      <c r="AC239" s="632"/>
      <c r="AD239" s="632">
        <f>CCBASE!$I$36*2</f>
        <v>191.630124</v>
      </c>
    </row>
    <row r="240" spans="1:45" x14ac:dyDescent="0.2">
      <c r="A240" s="630" t="s">
        <v>132</v>
      </c>
      <c r="B240" s="630">
        <v>2000</v>
      </c>
      <c r="C240" s="630">
        <v>1250</v>
      </c>
      <c r="D240" s="630" t="str">
        <f t="shared" ref="D240" si="94">A240&amp;B240&amp;C240</f>
        <v>KVF20001250</v>
      </c>
      <c r="E240" s="1046">
        <f t="shared" si="74"/>
        <v>2113.4110127999998</v>
      </c>
      <c r="F240" s="631">
        <v>24.5</v>
      </c>
      <c r="G240" s="632">
        <f>F240*CCBASE!$B$51</f>
        <v>882</v>
      </c>
      <c r="H240" s="632">
        <f>CCBASE!$I$12*B240/1000</f>
        <v>239.30107460000002</v>
      </c>
      <c r="I240" s="632"/>
      <c r="J240" s="632"/>
      <c r="K240" s="632"/>
      <c r="L240" s="632">
        <f>CCBASE!$I$13*B240/1000</f>
        <v>479.07531</v>
      </c>
      <c r="M240" s="632"/>
      <c r="N240" s="632">
        <f>CCBASE!$I$7*B240/1000</f>
        <v>63.084560000000003</v>
      </c>
      <c r="O240" s="632">
        <f>CCBASE!$I$45*B240/1000</f>
        <v>19.940000000000001</v>
      </c>
      <c r="P240" s="632"/>
      <c r="Q240" s="632">
        <f>CCBASE!$H$51</f>
        <v>5.16</v>
      </c>
      <c r="R240" s="632">
        <f>CCBASE!$I$4</f>
        <v>8.3986041999999994</v>
      </c>
      <c r="S240" s="632">
        <f>CCBASE!$I$8</f>
        <v>16.25526</v>
      </c>
      <c r="T240" s="632">
        <f>CCBASE!$I$44</f>
        <v>94.69</v>
      </c>
      <c r="U240" s="632">
        <f>CCBASE!$I$47*2</f>
        <v>28.82</v>
      </c>
      <c r="V240" s="632">
        <f>CCBASE!$I$46</f>
        <v>2.44</v>
      </c>
      <c r="W240" s="632">
        <f>CCBASE!$I$40*B240/1000</f>
        <v>82.616079999999997</v>
      </c>
      <c r="X240" s="632"/>
      <c r="Y240" s="632"/>
      <c r="Z240" s="632"/>
      <c r="AA240" s="632"/>
      <c r="AB240" s="632"/>
      <c r="AC240" s="632"/>
      <c r="AD240" s="632">
        <f>CCBASE!$I$36*2</f>
        <v>191.630124</v>
      </c>
    </row>
    <row r="241" spans="1:30" x14ac:dyDescent="0.2">
      <c r="A241" s="630" t="s">
        <v>132</v>
      </c>
      <c r="B241" s="630">
        <v>2250</v>
      </c>
      <c r="C241" s="630">
        <v>1250</v>
      </c>
      <c r="D241" s="630" t="str">
        <f t="shared" si="90"/>
        <v>KVF22501250</v>
      </c>
      <c r="E241" s="1046">
        <f t="shared" si="74"/>
        <v>2223.9131408749995</v>
      </c>
      <c r="F241" s="631">
        <v>24.5</v>
      </c>
      <c r="G241" s="632">
        <f>F241*CCBASE!$B$51</f>
        <v>882</v>
      </c>
      <c r="H241" s="632">
        <f>CCBASE!$I$12*B241/1000</f>
        <v>269.21370892500005</v>
      </c>
      <c r="I241" s="632"/>
      <c r="J241" s="632"/>
      <c r="K241" s="632"/>
      <c r="L241" s="632">
        <f>CCBASE!$I$13*B241/1000</f>
        <v>538.95972374999997</v>
      </c>
      <c r="M241" s="632"/>
      <c r="N241" s="632">
        <f>CCBASE!$I$7*B241/1000</f>
        <v>70.970130000000012</v>
      </c>
      <c r="O241" s="632">
        <f>CCBASE!$I$45*B241/1000</f>
        <v>22.432500000000001</v>
      </c>
      <c r="P241" s="632"/>
      <c r="Q241" s="632">
        <f>CCBASE!$H$51</f>
        <v>5.16</v>
      </c>
      <c r="R241" s="632">
        <f>CCBASE!$I$4</f>
        <v>8.3986041999999994</v>
      </c>
      <c r="S241" s="632">
        <f>CCBASE!$I$8</f>
        <v>16.25526</v>
      </c>
      <c r="T241" s="632">
        <f>CCBASE!$I$44</f>
        <v>94.69</v>
      </c>
      <c r="U241" s="632">
        <f>CCBASE!$I$47*2</f>
        <v>28.82</v>
      </c>
      <c r="V241" s="632">
        <f>CCBASE!$I$46</f>
        <v>2.44</v>
      </c>
      <c r="W241" s="632">
        <f>CCBASE!$I$40*B241/1000</f>
        <v>92.943089999999998</v>
      </c>
      <c r="X241" s="632"/>
      <c r="Y241" s="632"/>
      <c r="Z241" s="632"/>
      <c r="AA241" s="632"/>
      <c r="AB241" s="632"/>
      <c r="AC241" s="632"/>
      <c r="AD241" s="632">
        <f>CCBASE!$I$36*2</f>
        <v>191.630124</v>
      </c>
    </row>
    <row r="242" spans="1:30" x14ac:dyDescent="0.2">
      <c r="A242" s="630" t="s">
        <v>132</v>
      </c>
      <c r="B242" s="630">
        <v>2500</v>
      </c>
      <c r="C242" s="630">
        <v>1250</v>
      </c>
      <c r="D242" s="630" t="str">
        <f t="shared" ref="D242" si="95">A242&amp;B242&amp;C242</f>
        <v>KVF25001250</v>
      </c>
      <c r="E242" s="1046">
        <f t="shared" si="74"/>
        <v>2370.4152689500002</v>
      </c>
      <c r="F242" s="631">
        <v>25.5</v>
      </c>
      <c r="G242" s="632">
        <f>F242*CCBASE!$B$51</f>
        <v>918</v>
      </c>
      <c r="H242" s="632">
        <f>CCBASE!$I$12*B242/1000</f>
        <v>299.12634325000005</v>
      </c>
      <c r="I242" s="632"/>
      <c r="J242" s="632"/>
      <c r="K242" s="632"/>
      <c r="L242" s="632">
        <f>CCBASE!$I$13*B242/1000</f>
        <v>598.84413749999999</v>
      </c>
      <c r="M242" s="632"/>
      <c r="N242" s="632">
        <f>CCBASE!$I$7*B242/1000</f>
        <v>78.855699999999999</v>
      </c>
      <c r="O242" s="632">
        <f>CCBASE!$I$45*B242/1000</f>
        <v>24.925000000000001</v>
      </c>
      <c r="P242" s="632"/>
      <c r="Q242" s="632">
        <f>CCBASE!$H$51</f>
        <v>5.16</v>
      </c>
      <c r="R242" s="632">
        <f>CCBASE!$I$4</f>
        <v>8.3986041999999994</v>
      </c>
      <c r="S242" s="632">
        <f>CCBASE!$I$8</f>
        <v>16.25526</v>
      </c>
      <c r="T242" s="632">
        <f>CCBASE!$I$44</f>
        <v>94.69</v>
      </c>
      <c r="U242" s="632">
        <f>CCBASE!$I$47*2</f>
        <v>28.82</v>
      </c>
      <c r="V242" s="632">
        <f>CCBASE!$I$46</f>
        <v>2.44</v>
      </c>
      <c r="W242" s="632">
        <f>CCBASE!$I$40*B242/1000</f>
        <v>103.27009999999999</v>
      </c>
      <c r="X242" s="632"/>
      <c r="Y242" s="632"/>
      <c r="Z242" s="632"/>
      <c r="AA242" s="632"/>
      <c r="AB242" s="632"/>
      <c r="AC242" s="632"/>
      <c r="AD242" s="632">
        <f>CCBASE!$I$36*2</f>
        <v>191.630124</v>
      </c>
    </row>
    <row r="243" spans="1:30" x14ac:dyDescent="0.2">
      <c r="A243" s="630" t="s">
        <v>132</v>
      </c>
      <c r="B243" s="630">
        <v>2750</v>
      </c>
      <c r="C243" s="630">
        <v>1250</v>
      </c>
      <c r="D243" s="630" t="str">
        <f t="shared" ref="D243" si="96">A243&amp;B243&amp;C243</f>
        <v>KVF27501250</v>
      </c>
      <c r="E243" s="1046">
        <f t="shared" si="74"/>
        <v>2480.9173970250004</v>
      </c>
      <c r="F243" s="631">
        <v>25.5</v>
      </c>
      <c r="G243" s="632">
        <f>F243*CCBASE!$B$51</f>
        <v>918</v>
      </c>
      <c r="H243" s="632">
        <f>CCBASE!$I$12*B243/1000</f>
        <v>329.03897757500005</v>
      </c>
      <c r="I243" s="632"/>
      <c r="J243" s="632"/>
      <c r="K243" s="632"/>
      <c r="L243" s="632">
        <f>CCBASE!$I$13*B243/1000</f>
        <v>658.72855125000001</v>
      </c>
      <c r="M243" s="632"/>
      <c r="N243" s="632">
        <f>CCBASE!$I$7*B243/1000</f>
        <v>86.74127</v>
      </c>
      <c r="O243" s="632">
        <f>CCBASE!$I$45*B243/1000</f>
        <v>27.4175</v>
      </c>
      <c r="P243" s="632"/>
      <c r="Q243" s="632">
        <f>CCBASE!$H$51</f>
        <v>5.16</v>
      </c>
      <c r="R243" s="632">
        <f>CCBASE!$I$4</f>
        <v>8.3986041999999994</v>
      </c>
      <c r="S243" s="632">
        <f>CCBASE!$I$8</f>
        <v>16.25526</v>
      </c>
      <c r="T243" s="632">
        <f>CCBASE!$I$44</f>
        <v>94.69</v>
      </c>
      <c r="U243" s="632">
        <f>CCBASE!$I$47*2</f>
        <v>28.82</v>
      </c>
      <c r="V243" s="632">
        <f>CCBASE!$I$46</f>
        <v>2.44</v>
      </c>
      <c r="W243" s="632">
        <f>CCBASE!$I$40*B243/1000</f>
        <v>113.59711</v>
      </c>
      <c r="X243" s="632"/>
      <c r="Y243" s="632"/>
      <c r="Z243" s="632"/>
      <c r="AA243" s="632"/>
      <c r="AB243" s="632"/>
      <c r="AC243" s="632"/>
      <c r="AD243" s="632">
        <f>CCBASE!$I$36*2</f>
        <v>191.630124</v>
      </c>
    </row>
    <row r="244" spans="1:30" x14ac:dyDescent="0.2">
      <c r="A244" s="630" t="s">
        <v>132</v>
      </c>
      <c r="B244" s="630">
        <v>3000</v>
      </c>
      <c r="C244" s="630">
        <v>1250</v>
      </c>
      <c r="D244" s="630" t="str">
        <f t="shared" si="90"/>
        <v>KVF30001250</v>
      </c>
      <c r="E244" s="1046">
        <f t="shared" si="74"/>
        <v>2591.4195250999996</v>
      </c>
      <c r="F244" s="631">
        <v>25.5</v>
      </c>
      <c r="G244" s="632">
        <f>F244*CCBASE!$B$51</f>
        <v>918</v>
      </c>
      <c r="H244" s="632">
        <f>CCBASE!$I$12*B244/1000</f>
        <v>358.95161190000005</v>
      </c>
      <c r="I244" s="632"/>
      <c r="J244" s="632"/>
      <c r="K244" s="632"/>
      <c r="L244" s="632">
        <f>CCBASE!$I$13*B244/1000</f>
        <v>718.61296499999992</v>
      </c>
      <c r="M244" s="632"/>
      <c r="N244" s="632">
        <f>CCBASE!$I$7*B244/1000</f>
        <v>94.626840000000016</v>
      </c>
      <c r="O244" s="632">
        <f>CCBASE!$I$45*B244/1000</f>
        <v>29.910000000000004</v>
      </c>
      <c r="P244" s="632"/>
      <c r="Q244" s="632">
        <f>CCBASE!$H$51</f>
        <v>5.16</v>
      </c>
      <c r="R244" s="632">
        <f>CCBASE!$I$4</f>
        <v>8.3986041999999994</v>
      </c>
      <c r="S244" s="632">
        <f>CCBASE!$I$8</f>
        <v>16.25526</v>
      </c>
      <c r="T244" s="632">
        <f>CCBASE!$I$44</f>
        <v>94.69</v>
      </c>
      <c r="U244" s="632">
        <f>CCBASE!$I$47*2</f>
        <v>28.82</v>
      </c>
      <c r="V244" s="632">
        <f>CCBASE!$I$46</f>
        <v>2.44</v>
      </c>
      <c r="W244" s="632">
        <f>CCBASE!$I$40*B244/1000</f>
        <v>123.92412</v>
      </c>
      <c r="X244" s="632"/>
      <c r="Y244" s="632"/>
      <c r="Z244" s="632"/>
      <c r="AA244" s="632"/>
      <c r="AB244" s="632"/>
      <c r="AC244" s="632"/>
      <c r="AD244" s="632">
        <f>CCBASE!$I$36*2</f>
        <v>191.630124</v>
      </c>
    </row>
    <row r="245" spans="1:30" x14ac:dyDescent="0.2">
      <c r="A245" s="630" t="s">
        <v>132</v>
      </c>
      <c r="B245" s="630">
        <v>1000</v>
      </c>
      <c r="C245" s="630">
        <v>1500</v>
      </c>
      <c r="D245" s="630" t="str">
        <f t="shared" si="90"/>
        <v>KVF10001500</v>
      </c>
      <c r="E245" s="1046">
        <f t="shared" si="74"/>
        <v>1722.0150125</v>
      </c>
      <c r="F245" s="631">
        <v>24.5</v>
      </c>
      <c r="G245" s="632">
        <f>F245*CCBASE!$B$51</f>
        <v>882</v>
      </c>
      <c r="H245" s="632">
        <f>CCBASE!$I$12*B245/1000</f>
        <v>119.65053730000001</v>
      </c>
      <c r="I245" s="632"/>
      <c r="J245" s="632"/>
      <c r="K245" s="632"/>
      <c r="L245" s="632">
        <f>CCBASE!$I$13*B245/1000</f>
        <v>239.537655</v>
      </c>
      <c r="M245" s="632"/>
      <c r="N245" s="632">
        <f>CCBASE!$I$7*B245/1000</f>
        <v>31.542280000000002</v>
      </c>
      <c r="O245" s="632">
        <f>CCBASE!$I$45*B245/1000</f>
        <v>9.9700000000000006</v>
      </c>
      <c r="P245" s="632"/>
      <c r="Q245" s="632">
        <f>CCBASE!$H$51</f>
        <v>5.16</v>
      </c>
      <c r="R245" s="632">
        <f>CCBASE!$I$4</f>
        <v>8.3986041999999994</v>
      </c>
      <c r="S245" s="632">
        <f>CCBASE!$I$8</f>
        <v>16.25526</v>
      </c>
      <c r="T245" s="632">
        <f>CCBASE!$I$44</f>
        <v>94.69</v>
      </c>
      <c r="U245" s="632">
        <f>CCBASE!$I$47</f>
        <v>14.41</v>
      </c>
      <c r="V245" s="632">
        <f>CCBASE!$I$46/2</f>
        <v>1.22</v>
      </c>
      <c r="W245" s="632">
        <f>CCBASE!$I$41*B245/1000</f>
        <v>59.051569999999998</v>
      </c>
      <c r="X245" s="632"/>
      <c r="Y245" s="632"/>
      <c r="Z245" s="632"/>
      <c r="AA245" s="632"/>
      <c r="AB245" s="632"/>
      <c r="AC245" s="632"/>
      <c r="AD245" s="632">
        <f>CCBASE!$I$37*2</f>
        <v>240.12910599999998</v>
      </c>
    </row>
    <row r="246" spans="1:30" x14ac:dyDescent="0.2">
      <c r="A246" s="630" t="s">
        <v>132</v>
      </c>
      <c r="B246" s="630">
        <v>1250</v>
      </c>
      <c r="C246" s="630">
        <v>1500</v>
      </c>
      <c r="D246" s="630" t="str">
        <f t="shared" ref="D246" si="97">A246&amp;B246&amp;C246</f>
        <v>KVF12501500</v>
      </c>
      <c r="E246" s="1046">
        <f t="shared" si="74"/>
        <v>1851.363023075</v>
      </c>
      <c r="F246" s="631">
        <v>24.5</v>
      </c>
      <c r="G246" s="632">
        <f>F246*CCBASE!$B$51</f>
        <v>882</v>
      </c>
      <c r="H246" s="632">
        <f>CCBASE!$I$12*B246/1000</f>
        <v>149.56317162500002</v>
      </c>
      <c r="I246" s="632"/>
      <c r="J246" s="632"/>
      <c r="K246" s="632"/>
      <c r="L246" s="632">
        <f>CCBASE!$I$13*B246/1000</f>
        <v>299.42206874999999</v>
      </c>
      <c r="M246" s="632"/>
      <c r="N246" s="632">
        <f>CCBASE!$I$7*B246/1000</f>
        <v>39.427849999999999</v>
      </c>
      <c r="O246" s="632">
        <f>CCBASE!$I$45*B246/1000</f>
        <v>12.4625</v>
      </c>
      <c r="P246" s="632"/>
      <c r="Q246" s="632">
        <f>CCBASE!$H$51</f>
        <v>5.16</v>
      </c>
      <c r="R246" s="632">
        <f>CCBASE!$I$4</f>
        <v>8.3986041999999994</v>
      </c>
      <c r="S246" s="632">
        <f>CCBASE!$I$8</f>
        <v>16.25526</v>
      </c>
      <c r="T246" s="632">
        <f>CCBASE!$I$44</f>
        <v>94.69</v>
      </c>
      <c r="U246" s="632">
        <f>CCBASE!$I$47*2</f>
        <v>28.82</v>
      </c>
      <c r="V246" s="632">
        <f>CCBASE!$I$46/2</f>
        <v>1.22</v>
      </c>
      <c r="W246" s="632">
        <f>CCBASE!$I$41*B246/1000</f>
        <v>73.814462499999991</v>
      </c>
      <c r="X246" s="632"/>
      <c r="Y246" s="632"/>
      <c r="Z246" s="632"/>
      <c r="AA246" s="632"/>
      <c r="AB246" s="632"/>
      <c r="AC246" s="632"/>
      <c r="AD246" s="632">
        <f>CCBASE!$I$37*2</f>
        <v>240.12910599999998</v>
      </c>
    </row>
    <row r="247" spans="1:30" x14ac:dyDescent="0.2">
      <c r="A247" s="630" t="s">
        <v>132</v>
      </c>
      <c r="B247" s="630">
        <v>1500</v>
      </c>
      <c r="C247" s="630">
        <v>1500</v>
      </c>
      <c r="D247" s="630" t="str">
        <f t="shared" si="90"/>
        <v>KVF15001500</v>
      </c>
      <c r="E247" s="1046">
        <f t="shared" si="74"/>
        <v>1966.3010336499997</v>
      </c>
      <c r="F247" s="631">
        <v>24.5</v>
      </c>
      <c r="G247" s="632">
        <f>F247*CCBASE!$B$51</f>
        <v>882</v>
      </c>
      <c r="H247" s="632">
        <f>CCBASE!$I$12*B247/1000</f>
        <v>179.47580595000002</v>
      </c>
      <c r="I247" s="632"/>
      <c r="J247" s="632"/>
      <c r="K247" s="632"/>
      <c r="L247" s="632">
        <f>CCBASE!$I$13*B247/1000</f>
        <v>359.30648249999996</v>
      </c>
      <c r="M247" s="632"/>
      <c r="N247" s="632">
        <f>CCBASE!$I$7*B247/1000</f>
        <v>47.313420000000008</v>
      </c>
      <c r="O247" s="632">
        <f>CCBASE!$I$45*B247/1000</f>
        <v>14.955000000000002</v>
      </c>
      <c r="P247" s="632"/>
      <c r="Q247" s="632">
        <f>CCBASE!$H$51</f>
        <v>5.16</v>
      </c>
      <c r="R247" s="632">
        <f>CCBASE!$I$4</f>
        <v>8.3986041999999994</v>
      </c>
      <c r="S247" s="632">
        <f>CCBASE!$I$8</f>
        <v>16.25526</v>
      </c>
      <c r="T247" s="632">
        <f>CCBASE!$I$44</f>
        <v>94.69</v>
      </c>
      <c r="U247" s="632">
        <f>CCBASE!$I$47*2</f>
        <v>28.82</v>
      </c>
      <c r="V247" s="632">
        <f>CCBASE!$I$46/2</f>
        <v>1.22</v>
      </c>
      <c r="W247" s="632">
        <f>CCBASE!$I$41*B247/1000</f>
        <v>88.577354999999997</v>
      </c>
      <c r="X247" s="632"/>
      <c r="Y247" s="632"/>
      <c r="Z247" s="632"/>
      <c r="AA247" s="632"/>
      <c r="AB247" s="632"/>
      <c r="AC247" s="632"/>
      <c r="AD247" s="632">
        <f>CCBASE!$I$37*2</f>
        <v>240.12910599999998</v>
      </c>
    </row>
    <row r="248" spans="1:30" x14ac:dyDescent="0.2">
      <c r="A248" s="630" t="s">
        <v>132</v>
      </c>
      <c r="B248" s="630">
        <v>1750</v>
      </c>
      <c r="C248" s="630">
        <v>1500</v>
      </c>
      <c r="D248" s="630" t="str">
        <f t="shared" ref="D248" si="98">A248&amp;B248&amp;C248</f>
        <v>KVF17501500</v>
      </c>
      <c r="E248" s="1046">
        <f t="shared" si="74"/>
        <v>2082.4590442250001</v>
      </c>
      <c r="F248" s="631">
        <v>24.5</v>
      </c>
      <c r="G248" s="632">
        <f>F248*CCBASE!$B$51</f>
        <v>882</v>
      </c>
      <c r="H248" s="632">
        <f>CCBASE!$I$12*B248/1000</f>
        <v>209.38844027500002</v>
      </c>
      <c r="I248" s="632"/>
      <c r="J248" s="632"/>
      <c r="K248" s="632"/>
      <c r="L248" s="632">
        <f>CCBASE!$I$13*B248/1000</f>
        <v>419.19089624999998</v>
      </c>
      <c r="M248" s="632"/>
      <c r="N248" s="632">
        <f>CCBASE!$I$7*B248/1000</f>
        <v>55.198990000000002</v>
      </c>
      <c r="O248" s="632">
        <f>CCBASE!$I$45*B248/1000</f>
        <v>17.447500000000002</v>
      </c>
      <c r="P248" s="632"/>
      <c r="Q248" s="632">
        <f>CCBASE!$H$51</f>
        <v>5.16</v>
      </c>
      <c r="R248" s="632">
        <f>CCBASE!$I$4</f>
        <v>8.3986041999999994</v>
      </c>
      <c r="S248" s="632">
        <f>CCBASE!$I$8</f>
        <v>16.25526</v>
      </c>
      <c r="T248" s="632">
        <f>CCBASE!$I$44</f>
        <v>94.69</v>
      </c>
      <c r="U248" s="632">
        <f>CCBASE!$I$47*2</f>
        <v>28.82</v>
      </c>
      <c r="V248" s="632">
        <f>CCBASE!$I$46</f>
        <v>2.44</v>
      </c>
      <c r="W248" s="632">
        <f>CCBASE!$I$41*B248/1000</f>
        <v>103.3402475</v>
      </c>
      <c r="X248" s="632"/>
      <c r="Y248" s="632"/>
      <c r="Z248" s="632"/>
      <c r="AA248" s="632"/>
      <c r="AB248" s="632"/>
      <c r="AC248" s="632"/>
      <c r="AD248" s="632">
        <f>CCBASE!$I$37*2</f>
        <v>240.12910599999998</v>
      </c>
    </row>
    <row r="249" spans="1:30" x14ac:dyDescent="0.2">
      <c r="A249" s="630" t="s">
        <v>132</v>
      </c>
      <c r="B249" s="630">
        <v>2000</v>
      </c>
      <c r="C249" s="630">
        <v>1500</v>
      </c>
      <c r="D249" s="630" t="str">
        <f t="shared" si="90"/>
        <v>KVF20001500</v>
      </c>
      <c r="E249" s="1046">
        <f t="shared" si="74"/>
        <v>2197.3970547999998</v>
      </c>
      <c r="F249" s="631">
        <v>24.5</v>
      </c>
      <c r="G249" s="632">
        <f>F249*CCBASE!$B$51</f>
        <v>882</v>
      </c>
      <c r="H249" s="632">
        <f>CCBASE!$I$12*B249/1000</f>
        <v>239.30107460000002</v>
      </c>
      <c r="I249" s="632"/>
      <c r="J249" s="632"/>
      <c r="K249" s="632"/>
      <c r="L249" s="632">
        <f>CCBASE!$I$13*B249/1000</f>
        <v>479.07531</v>
      </c>
      <c r="M249" s="632"/>
      <c r="N249" s="632">
        <f>CCBASE!$I$7*B249/1000</f>
        <v>63.084560000000003</v>
      </c>
      <c r="O249" s="632">
        <f>CCBASE!$I$45*B249/1000</f>
        <v>19.940000000000001</v>
      </c>
      <c r="P249" s="632"/>
      <c r="Q249" s="632">
        <f>CCBASE!$H$51</f>
        <v>5.16</v>
      </c>
      <c r="R249" s="632">
        <f>CCBASE!$I$4</f>
        <v>8.3986041999999994</v>
      </c>
      <c r="S249" s="632">
        <f>CCBASE!$I$8</f>
        <v>16.25526</v>
      </c>
      <c r="T249" s="632">
        <f>CCBASE!$I$44</f>
        <v>94.69</v>
      </c>
      <c r="U249" s="632">
        <f>CCBASE!$I$47*2</f>
        <v>28.82</v>
      </c>
      <c r="V249" s="632">
        <f>CCBASE!$I$46</f>
        <v>2.44</v>
      </c>
      <c r="W249" s="632">
        <f>CCBASE!$I$41*B249/1000</f>
        <v>118.10314</v>
      </c>
      <c r="X249" s="632"/>
      <c r="Y249" s="632"/>
      <c r="Z249" s="632"/>
      <c r="AA249" s="632"/>
      <c r="AB249" s="632"/>
      <c r="AC249" s="632"/>
      <c r="AD249" s="632">
        <f>CCBASE!$I$37*2</f>
        <v>240.12910599999998</v>
      </c>
    </row>
    <row r="250" spans="1:30" x14ac:dyDescent="0.2">
      <c r="A250" s="630" t="s">
        <v>132</v>
      </c>
      <c r="B250" s="630">
        <v>2250</v>
      </c>
      <c r="C250" s="630">
        <v>1500</v>
      </c>
      <c r="D250" s="630" t="str">
        <f t="shared" ref="D250" si="99">A250&amp;B250&amp;C250</f>
        <v>KVF22501500</v>
      </c>
      <c r="E250" s="1046">
        <f t="shared" si="74"/>
        <v>2348.3350653749994</v>
      </c>
      <c r="F250" s="631">
        <v>25.5</v>
      </c>
      <c r="G250" s="632">
        <f>F250*CCBASE!$B$51</f>
        <v>918</v>
      </c>
      <c r="H250" s="632">
        <f>CCBASE!$I$12*B250/1000</f>
        <v>269.21370892500005</v>
      </c>
      <c r="I250" s="632"/>
      <c r="J250" s="632"/>
      <c r="K250" s="632"/>
      <c r="L250" s="632">
        <f>CCBASE!$I$13*B250/1000</f>
        <v>538.95972374999997</v>
      </c>
      <c r="M250" s="632"/>
      <c r="N250" s="632">
        <f>CCBASE!$I$7*B250/1000</f>
        <v>70.970130000000012</v>
      </c>
      <c r="O250" s="632">
        <f>CCBASE!$I$45*B250/1000</f>
        <v>22.432500000000001</v>
      </c>
      <c r="P250" s="632"/>
      <c r="Q250" s="632">
        <f>CCBASE!$H$51</f>
        <v>5.16</v>
      </c>
      <c r="R250" s="632">
        <f>CCBASE!$I$4</f>
        <v>8.3986041999999994</v>
      </c>
      <c r="S250" s="632">
        <f>CCBASE!$I$8</f>
        <v>16.25526</v>
      </c>
      <c r="T250" s="632">
        <f>CCBASE!$I$44</f>
        <v>94.69</v>
      </c>
      <c r="U250" s="632">
        <f>CCBASE!$I$47*2</f>
        <v>28.82</v>
      </c>
      <c r="V250" s="632">
        <f>CCBASE!$I$46</f>
        <v>2.44</v>
      </c>
      <c r="W250" s="632">
        <f>CCBASE!$I$41*B250/1000</f>
        <v>132.86603249999999</v>
      </c>
      <c r="X250" s="632"/>
      <c r="Y250" s="632"/>
      <c r="Z250" s="632"/>
      <c r="AA250" s="632"/>
      <c r="AB250" s="632"/>
      <c r="AC250" s="632"/>
      <c r="AD250" s="632">
        <f>CCBASE!$I$37*2</f>
        <v>240.12910599999998</v>
      </c>
    </row>
    <row r="251" spans="1:30" x14ac:dyDescent="0.2">
      <c r="A251" s="630" t="s">
        <v>132</v>
      </c>
      <c r="B251" s="630">
        <v>2500</v>
      </c>
      <c r="C251" s="630">
        <v>1500</v>
      </c>
      <c r="D251" s="630" t="str">
        <f t="shared" si="90"/>
        <v>KVF25001500</v>
      </c>
      <c r="E251" s="1046">
        <f t="shared" si="74"/>
        <v>2463.27307595</v>
      </c>
      <c r="F251" s="631">
        <v>25.5</v>
      </c>
      <c r="G251" s="632">
        <f>F251*CCBASE!$B$51</f>
        <v>918</v>
      </c>
      <c r="H251" s="632">
        <f>CCBASE!$I$12*B251/1000</f>
        <v>299.12634325000005</v>
      </c>
      <c r="I251" s="632"/>
      <c r="J251" s="632"/>
      <c r="K251" s="632"/>
      <c r="L251" s="632">
        <f>CCBASE!$I$13*B251/1000</f>
        <v>598.84413749999999</v>
      </c>
      <c r="M251" s="632"/>
      <c r="N251" s="632">
        <f>CCBASE!$I$7*B251/1000</f>
        <v>78.855699999999999</v>
      </c>
      <c r="O251" s="632">
        <f>CCBASE!$I$45*B251/1000</f>
        <v>24.925000000000001</v>
      </c>
      <c r="P251" s="632"/>
      <c r="Q251" s="632">
        <f>CCBASE!$H$51</f>
        <v>5.16</v>
      </c>
      <c r="R251" s="632">
        <f>CCBASE!$I$4</f>
        <v>8.3986041999999994</v>
      </c>
      <c r="S251" s="632">
        <f>CCBASE!$I$8</f>
        <v>16.25526</v>
      </c>
      <c r="T251" s="632">
        <f>CCBASE!$I$44</f>
        <v>94.69</v>
      </c>
      <c r="U251" s="632">
        <f>CCBASE!$I$47*2</f>
        <v>28.82</v>
      </c>
      <c r="V251" s="632">
        <f>CCBASE!$I$46</f>
        <v>2.44</v>
      </c>
      <c r="W251" s="632">
        <f>CCBASE!$I$41*B251/1000</f>
        <v>147.62892499999998</v>
      </c>
      <c r="X251" s="632"/>
      <c r="Y251" s="632"/>
      <c r="Z251" s="632"/>
      <c r="AA251" s="632"/>
      <c r="AB251" s="632"/>
      <c r="AC251" s="632"/>
      <c r="AD251" s="632">
        <f>CCBASE!$I$37*2</f>
        <v>240.12910599999998</v>
      </c>
    </row>
    <row r="252" spans="1:30" x14ac:dyDescent="0.2">
      <c r="A252" s="630" t="s">
        <v>132</v>
      </c>
      <c r="B252" s="630">
        <v>2750</v>
      </c>
      <c r="C252" s="630">
        <v>1500</v>
      </c>
      <c r="D252" s="630" t="str">
        <f t="shared" ref="D252" si="100">A252&amp;B252&amp;C252</f>
        <v>KVF27501500</v>
      </c>
      <c r="E252" s="1046">
        <f t="shared" si="74"/>
        <v>2578.2110865250002</v>
      </c>
      <c r="F252" s="631">
        <v>25.5</v>
      </c>
      <c r="G252" s="632">
        <f>F252*CCBASE!$B$51</f>
        <v>918</v>
      </c>
      <c r="H252" s="632">
        <f>CCBASE!$I$12*B252/1000</f>
        <v>329.03897757500005</v>
      </c>
      <c r="I252" s="632"/>
      <c r="J252" s="632"/>
      <c r="K252" s="632"/>
      <c r="L252" s="632">
        <f>CCBASE!$I$13*B252/1000</f>
        <v>658.72855125000001</v>
      </c>
      <c r="M252" s="632"/>
      <c r="N252" s="632">
        <f>CCBASE!$I$7*B252/1000</f>
        <v>86.74127</v>
      </c>
      <c r="O252" s="632">
        <f>CCBASE!$I$45*B252/1000</f>
        <v>27.4175</v>
      </c>
      <c r="P252" s="632"/>
      <c r="Q252" s="632">
        <f>CCBASE!$H$51</f>
        <v>5.16</v>
      </c>
      <c r="R252" s="632">
        <f>CCBASE!$I$4</f>
        <v>8.3986041999999994</v>
      </c>
      <c r="S252" s="632">
        <f>CCBASE!$I$8</f>
        <v>16.25526</v>
      </c>
      <c r="T252" s="632">
        <f>CCBASE!$I$44</f>
        <v>94.69</v>
      </c>
      <c r="U252" s="632">
        <f>CCBASE!$I$47*2</f>
        <v>28.82</v>
      </c>
      <c r="V252" s="632">
        <f>CCBASE!$I$46</f>
        <v>2.44</v>
      </c>
      <c r="W252" s="632">
        <f>CCBASE!$I$41*B252/1000</f>
        <v>162.3918175</v>
      </c>
      <c r="X252" s="632"/>
      <c r="Y252" s="632"/>
      <c r="Z252" s="632"/>
      <c r="AA252" s="632"/>
      <c r="AB252" s="632"/>
      <c r="AC252" s="632"/>
      <c r="AD252" s="632">
        <f>CCBASE!$I$37*2</f>
        <v>240.12910599999998</v>
      </c>
    </row>
    <row r="253" spans="1:30" x14ac:dyDescent="0.2">
      <c r="A253" s="630" t="s">
        <v>132</v>
      </c>
      <c r="B253" s="630">
        <v>3000</v>
      </c>
      <c r="C253" s="630">
        <v>1500</v>
      </c>
      <c r="D253" s="630" t="str">
        <f t="shared" si="90"/>
        <v>KVF30001500</v>
      </c>
      <c r="E253" s="1046">
        <f t="shared" si="74"/>
        <v>2693.1490970999994</v>
      </c>
      <c r="F253" s="631">
        <v>25.5</v>
      </c>
      <c r="G253" s="632">
        <f>F253*CCBASE!$B$51</f>
        <v>918</v>
      </c>
      <c r="H253" s="632">
        <f>CCBASE!$I$12*B253/1000</f>
        <v>358.95161190000005</v>
      </c>
      <c r="I253" s="632"/>
      <c r="J253" s="632"/>
      <c r="K253" s="632"/>
      <c r="L253" s="632">
        <f>CCBASE!$I$13*B253/1000</f>
        <v>718.61296499999992</v>
      </c>
      <c r="M253" s="632"/>
      <c r="N253" s="632">
        <f>CCBASE!$I$7*B253/1000</f>
        <v>94.626840000000016</v>
      </c>
      <c r="O253" s="632">
        <f>CCBASE!$I$45*B253/1000</f>
        <v>29.910000000000004</v>
      </c>
      <c r="P253" s="632"/>
      <c r="Q253" s="632">
        <f>CCBASE!$H$51</f>
        <v>5.16</v>
      </c>
      <c r="R253" s="632">
        <f>CCBASE!$I$4</f>
        <v>8.3986041999999994</v>
      </c>
      <c r="S253" s="632">
        <f>CCBASE!$I$8</f>
        <v>16.25526</v>
      </c>
      <c r="T253" s="632">
        <f>CCBASE!$I$44</f>
        <v>94.69</v>
      </c>
      <c r="U253" s="632">
        <f>CCBASE!$I$47*2</f>
        <v>28.82</v>
      </c>
      <c r="V253" s="632">
        <f>CCBASE!$I$46</f>
        <v>2.44</v>
      </c>
      <c r="W253" s="632">
        <f>CCBASE!$I$41*B253/1000</f>
        <v>177.15470999999999</v>
      </c>
      <c r="X253" s="632"/>
      <c r="Y253" s="632"/>
      <c r="Z253" s="632"/>
      <c r="AA253" s="632"/>
      <c r="AB253" s="632"/>
      <c r="AC253" s="632"/>
      <c r="AD253" s="632">
        <f>CCBASE!$I$37*2</f>
        <v>240.12910599999998</v>
      </c>
    </row>
    <row r="254" spans="1:30" x14ac:dyDescent="0.2">
      <c r="A254" s="630" t="s">
        <v>132</v>
      </c>
      <c r="B254" s="630">
        <v>1000</v>
      </c>
      <c r="C254" s="630">
        <v>1750</v>
      </c>
      <c r="D254" s="630" t="str">
        <f t="shared" si="90"/>
        <v>KVF10001750</v>
      </c>
      <c r="E254" s="1046">
        <f t="shared" si="74"/>
        <v>1765.7823865</v>
      </c>
      <c r="F254" s="631">
        <v>24.5</v>
      </c>
      <c r="G254" s="632">
        <f>F254*CCBASE!$B$51</f>
        <v>882</v>
      </c>
      <c r="H254" s="632">
        <f>CCBASE!$I$12*B254/1000</f>
        <v>119.65053730000001</v>
      </c>
      <c r="I254" s="632"/>
      <c r="J254" s="632"/>
      <c r="K254" s="632"/>
      <c r="L254" s="632">
        <f>CCBASE!$I$13*B254/1000</f>
        <v>239.537655</v>
      </c>
      <c r="M254" s="632"/>
      <c r="N254" s="632">
        <f>CCBASE!$I$7*B254/1000</f>
        <v>31.542280000000002</v>
      </c>
      <c r="O254" s="632">
        <f>CCBASE!$I$45*B254/1000</f>
        <v>9.9700000000000006</v>
      </c>
      <c r="P254" s="632"/>
      <c r="Q254" s="632">
        <f>CCBASE!$H$51</f>
        <v>5.16</v>
      </c>
      <c r="R254" s="632">
        <f>CCBASE!$I$4</f>
        <v>8.3986041999999994</v>
      </c>
      <c r="S254" s="632">
        <f>CCBASE!$I$8</f>
        <v>16.25526</v>
      </c>
      <c r="T254" s="632">
        <f>CCBASE!$I$44</f>
        <v>94.69</v>
      </c>
      <c r="U254" s="632">
        <f>CCBASE!$I$47</f>
        <v>14.41</v>
      </c>
      <c r="V254" s="632">
        <f>CCBASE!$I$46/2</f>
        <v>1.22</v>
      </c>
      <c r="W254" s="632">
        <f>CCBASE!$I$42*B254/1000</f>
        <v>70.880589999999998</v>
      </c>
      <c r="X254" s="632"/>
      <c r="Y254" s="632"/>
      <c r="Z254" s="632"/>
      <c r="AA254" s="632"/>
      <c r="AB254" s="632"/>
      <c r="AC254" s="632"/>
      <c r="AD254" s="632">
        <f>CCBASE!$I$38*2</f>
        <v>272.06745999999998</v>
      </c>
    </row>
    <row r="255" spans="1:30" x14ac:dyDescent="0.2">
      <c r="A255" s="630" t="s">
        <v>132</v>
      </c>
      <c r="B255" s="630">
        <v>1250</v>
      </c>
      <c r="C255" s="630">
        <v>1750</v>
      </c>
      <c r="D255" s="630" t="str">
        <f t="shared" ref="D255" si="101">A255&amp;B255&amp;C255</f>
        <v>KVF12501750</v>
      </c>
      <c r="E255" s="1046">
        <f t="shared" si="74"/>
        <v>1898.0876520750001</v>
      </c>
      <c r="F255" s="631">
        <v>24.5</v>
      </c>
      <c r="G255" s="632">
        <f>F255*CCBASE!$B$51</f>
        <v>882</v>
      </c>
      <c r="H255" s="632">
        <f>CCBASE!$I$12*B255/1000</f>
        <v>149.56317162500002</v>
      </c>
      <c r="I255" s="632"/>
      <c r="J255" s="632"/>
      <c r="K255" s="632"/>
      <c r="L255" s="632">
        <f>CCBASE!$I$13*B255/1000</f>
        <v>299.42206874999999</v>
      </c>
      <c r="M255" s="632"/>
      <c r="N255" s="632">
        <f>CCBASE!$I$7*B255/1000</f>
        <v>39.427849999999999</v>
      </c>
      <c r="O255" s="632">
        <f>CCBASE!$I$45*B255/1000</f>
        <v>12.4625</v>
      </c>
      <c r="P255" s="632"/>
      <c r="Q255" s="632">
        <f>CCBASE!$H$51</f>
        <v>5.16</v>
      </c>
      <c r="R255" s="632">
        <f>CCBASE!$I$4</f>
        <v>8.3986041999999994</v>
      </c>
      <c r="S255" s="632">
        <f>CCBASE!$I$8</f>
        <v>16.25526</v>
      </c>
      <c r="T255" s="632">
        <f>CCBASE!$I$44</f>
        <v>94.69</v>
      </c>
      <c r="U255" s="632">
        <f>CCBASE!$I$47*2</f>
        <v>28.82</v>
      </c>
      <c r="V255" s="632">
        <f>CCBASE!$I$46/2</f>
        <v>1.22</v>
      </c>
      <c r="W255" s="632">
        <f>CCBASE!$I$42*B255/1000</f>
        <v>88.600737500000008</v>
      </c>
      <c r="X255" s="632"/>
      <c r="Y255" s="632"/>
      <c r="Z255" s="632"/>
      <c r="AA255" s="632"/>
      <c r="AB255" s="632"/>
      <c r="AC255" s="632"/>
      <c r="AD255" s="632">
        <f>CCBASE!$I$38*2</f>
        <v>272.06745999999998</v>
      </c>
    </row>
    <row r="256" spans="1:30" x14ac:dyDescent="0.2">
      <c r="A256" s="630" t="s">
        <v>132</v>
      </c>
      <c r="B256" s="630">
        <v>1500</v>
      </c>
      <c r="C256" s="630">
        <v>1750</v>
      </c>
      <c r="D256" s="630" t="str">
        <f t="shared" si="90"/>
        <v>KVF15001750</v>
      </c>
      <c r="E256" s="1046">
        <f t="shared" si="74"/>
        <v>2015.9829176499998</v>
      </c>
      <c r="F256" s="631">
        <v>24.5</v>
      </c>
      <c r="G256" s="632">
        <f>F256*CCBASE!$B$51</f>
        <v>882</v>
      </c>
      <c r="H256" s="632">
        <f>CCBASE!$I$12*B256/1000</f>
        <v>179.47580595000002</v>
      </c>
      <c r="I256" s="632"/>
      <c r="J256" s="632"/>
      <c r="K256" s="632"/>
      <c r="L256" s="632">
        <f>CCBASE!$I$13*B256/1000</f>
        <v>359.30648249999996</v>
      </c>
      <c r="M256" s="632"/>
      <c r="N256" s="632">
        <f>CCBASE!$I$7*B256/1000</f>
        <v>47.313420000000008</v>
      </c>
      <c r="O256" s="632">
        <f>CCBASE!$I$45*B256/1000</f>
        <v>14.955000000000002</v>
      </c>
      <c r="P256" s="632"/>
      <c r="Q256" s="632">
        <f>CCBASE!$H$51</f>
        <v>5.16</v>
      </c>
      <c r="R256" s="632">
        <f>CCBASE!$I$4</f>
        <v>8.3986041999999994</v>
      </c>
      <c r="S256" s="632">
        <f>CCBASE!$I$8</f>
        <v>16.25526</v>
      </c>
      <c r="T256" s="632">
        <f>CCBASE!$I$44</f>
        <v>94.69</v>
      </c>
      <c r="U256" s="632">
        <f>CCBASE!$I$47*2</f>
        <v>28.82</v>
      </c>
      <c r="V256" s="632">
        <f>CCBASE!$I$46/2</f>
        <v>1.22</v>
      </c>
      <c r="W256" s="632">
        <f>CCBASE!$I$42*B256/1000</f>
        <v>106.32088499999999</v>
      </c>
      <c r="X256" s="632"/>
      <c r="Y256" s="632"/>
      <c r="Z256" s="632"/>
      <c r="AA256" s="632"/>
      <c r="AB256" s="632"/>
      <c r="AC256" s="632"/>
      <c r="AD256" s="632">
        <f>CCBASE!$I$38*2</f>
        <v>272.06745999999998</v>
      </c>
    </row>
    <row r="257" spans="1:30" x14ac:dyDescent="0.2">
      <c r="A257" s="630" t="s">
        <v>132</v>
      </c>
      <c r="B257" s="630">
        <v>1750</v>
      </c>
      <c r="C257" s="630">
        <v>1750</v>
      </c>
      <c r="D257" s="630" t="str">
        <f t="shared" ref="D257" si="102">A257&amp;B257&amp;C257</f>
        <v>KVF17501750</v>
      </c>
      <c r="E257" s="1046">
        <f t="shared" si="74"/>
        <v>2135.098183225</v>
      </c>
      <c r="F257" s="631">
        <v>24.5</v>
      </c>
      <c r="G257" s="632">
        <f>F257*CCBASE!$B$51</f>
        <v>882</v>
      </c>
      <c r="H257" s="632">
        <f>CCBASE!$I$12*B257/1000</f>
        <v>209.38844027500002</v>
      </c>
      <c r="I257" s="632"/>
      <c r="J257" s="632"/>
      <c r="K257" s="632"/>
      <c r="L257" s="632">
        <f>CCBASE!$I$13*B257/1000</f>
        <v>419.19089624999998</v>
      </c>
      <c r="M257" s="632"/>
      <c r="N257" s="632">
        <f>CCBASE!$I$7*B257/1000</f>
        <v>55.198990000000002</v>
      </c>
      <c r="O257" s="632">
        <f>CCBASE!$I$45*B257/1000</f>
        <v>17.447500000000002</v>
      </c>
      <c r="P257" s="632"/>
      <c r="Q257" s="632">
        <f>CCBASE!$H$51</f>
        <v>5.16</v>
      </c>
      <c r="R257" s="632">
        <f>CCBASE!$I$4</f>
        <v>8.3986041999999994</v>
      </c>
      <c r="S257" s="632">
        <f>CCBASE!$I$8</f>
        <v>16.25526</v>
      </c>
      <c r="T257" s="632">
        <f>CCBASE!$I$44</f>
        <v>94.69</v>
      </c>
      <c r="U257" s="632">
        <f>CCBASE!$I$47*2</f>
        <v>28.82</v>
      </c>
      <c r="V257" s="632">
        <f>CCBASE!$I$46</f>
        <v>2.44</v>
      </c>
      <c r="W257" s="632">
        <f>CCBASE!$I$42*B257/1000</f>
        <v>124.0410325</v>
      </c>
      <c r="X257" s="632"/>
      <c r="Y257" s="632"/>
      <c r="Z257" s="632"/>
      <c r="AA257" s="632"/>
      <c r="AB257" s="632"/>
      <c r="AC257" s="632"/>
      <c r="AD257" s="632">
        <f>CCBASE!$I$38*2</f>
        <v>272.06745999999998</v>
      </c>
    </row>
    <row r="258" spans="1:30" x14ac:dyDescent="0.2">
      <c r="A258" s="630" t="s">
        <v>132</v>
      </c>
      <c r="B258" s="630">
        <v>2000</v>
      </c>
      <c r="C258" s="630">
        <v>1750</v>
      </c>
      <c r="D258" s="630" t="str">
        <f t="shared" si="90"/>
        <v>KVF20001750</v>
      </c>
      <c r="E258" s="1046">
        <f t="shared" si="74"/>
        <v>2252.9934487999999</v>
      </c>
      <c r="F258" s="631">
        <v>24.5</v>
      </c>
      <c r="G258" s="632">
        <f>F258*CCBASE!$B$51</f>
        <v>882</v>
      </c>
      <c r="H258" s="632">
        <f>CCBASE!$I$12*B258/1000</f>
        <v>239.30107460000002</v>
      </c>
      <c r="I258" s="632"/>
      <c r="J258" s="632"/>
      <c r="K258" s="632"/>
      <c r="L258" s="632">
        <f>CCBASE!$I$13*B258/1000</f>
        <v>479.07531</v>
      </c>
      <c r="M258" s="632"/>
      <c r="N258" s="632">
        <f>CCBASE!$I$7*B258/1000</f>
        <v>63.084560000000003</v>
      </c>
      <c r="O258" s="632">
        <f>CCBASE!$I$45*B258/1000</f>
        <v>19.940000000000001</v>
      </c>
      <c r="P258" s="632"/>
      <c r="Q258" s="632">
        <f>CCBASE!$H$51</f>
        <v>5.16</v>
      </c>
      <c r="R258" s="632">
        <f>CCBASE!$I$4</f>
        <v>8.3986041999999994</v>
      </c>
      <c r="S258" s="632">
        <f>CCBASE!$I$8</f>
        <v>16.25526</v>
      </c>
      <c r="T258" s="632">
        <f>CCBASE!$I$44</f>
        <v>94.69</v>
      </c>
      <c r="U258" s="632">
        <f>CCBASE!$I$47*2</f>
        <v>28.82</v>
      </c>
      <c r="V258" s="632">
        <f>CCBASE!$I$46</f>
        <v>2.44</v>
      </c>
      <c r="W258" s="632">
        <f>CCBASE!$I$42*B258/1000</f>
        <v>141.76118</v>
      </c>
      <c r="X258" s="632"/>
      <c r="Y258" s="632"/>
      <c r="Z258" s="632"/>
      <c r="AA258" s="632"/>
      <c r="AB258" s="632"/>
      <c r="AC258" s="632"/>
      <c r="AD258" s="632">
        <f>CCBASE!$I$38*2</f>
        <v>272.06745999999998</v>
      </c>
    </row>
    <row r="259" spans="1:30" x14ac:dyDescent="0.2">
      <c r="A259" s="630" t="s">
        <v>132</v>
      </c>
      <c r="B259" s="630">
        <v>2250</v>
      </c>
      <c r="C259" s="630">
        <v>1750</v>
      </c>
      <c r="D259" s="630" t="str">
        <f t="shared" ref="D259" si="103">A259&amp;B259&amp;C259</f>
        <v>KVF22501750</v>
      </c>
      <c r="E259" s="1046">
        <f t="shared" ref="E259:E331" si="104">SUM(G259:AD259)</f>
        <v>2406.8887143749998</v>
      </c>
      <c r="F259" s="631">
        <v>25.5</v>
      </c>
      <c r="G259" s="632">
        <f>F259*CCBASE!$B$51</f>
        <v>918</v>
      </c>
      <c r="H259" s="632">
        <f>CCBASE!$I$12*B259/1000</f>
        <v>269.21370892500005</v>
      </c>
      <c r="I259" s="632"/>
      <c r="J259" s="632"/>
      <c r="K259" s="632"/>
      <c r="L259" s="632">
        <f>CCBASE!$I$13*B259/1000</f>
        <v>538.95972374999997</v>
      </c>
      <c r="M259" s="632"/>
      <c r="N259" s="632">
        <f>CCBASE!$I$7*B259/1000</f>
        <v>70.970130000000012</v>
      </c>
      <c r="O259" s="632">
        <f>CCBASE!$I$45*B259/1000</f>
        <v>22.432500000000001</v>
      </c>
      <c r="P259" s="632"/>
      <c r="Q259" s="632">
        <f>CCBASE!$H$51</f>
        <v>5.16</v>
      </c>
      <c r="R259" s="632">
        <f>CCBASE!$I$4</f>
        <v>8.3986041999999994</v>
      </c>
      <c r="S259" s="632">
        <f>CCBASE!$I$8</f>
        <v>16.25526</v>
      </c>
      <c r="T259" s="632">
        <f>CCBASE!$I$44</f>
        <v>94.69</v>
      </c>
      <c r="U259" s="632">
        <f>CCBASE!$I$47*2</f>
        <v>28.82</v>
      </c>
      <c r="V259" s="632">
        <f>CCBASE!$I$46</f>
        <v>2.44</v>
      </c>
      <c r="W259" s="632">
        <f>CCBASE!$I$42*B259/1000</f>
        <v>159.48132749999999</v>
      </c>
      <c r="X259" s="632"/>
      <c r="Y259" s="632"/>
      <c r="Z259" s="632"/>
      <c r="AA259" s="632"/>
      <c r="AB259" s="632"/>
      <c r="AC259" s="632"/>
      <c r="AD259" s="632">
        <f>CCBASE!$I$38*2</f>
        <v>272.06745999999998</v>
      </c>
    </row>
    <row r="260" spans="1:30" x14ac:dyDescent="0.2">
      <c r="A260" s="630" t="s">
        <v>132</v>
      </c>
      <c r="B260" s="630">
        <v>2500</v>
      </c>
      <c r="C260" s="630">
        <v>1750</v>
      </c>
      <c r="D260" s="630" t="str">
        <f t="shared" si="90"/>
        <v>KVF25001750</v>
      </c>
      <c r="E260" s="1046">
        <f t="shared" si="104"/>
        <v>2524.7839799499998</v>
      </c>
      <c r="F260" s="631">
        <v>25.5</v>
      </c>
      <c r="G260" s="632">
        <f>F260*CCBASE!$B$51</f>
        <v>918</v>
      </c>
      <c r="H260" s="632">
        <f>CCBASE!$I$12*B260/1000</f>
        <v>299.12634325000005</v>
      </c>
      <c r="I260" s="632"/>
      <c r="J260" s="632"/>
      <c r="K260" s="632"/>
      <c r="L260" s="632">
        <f>CCBASE!$I$13*B260/1000</f>
        <v>598.84413749999999</v>
      </c>
      <c r="M260" s="632"/>
      <c r="N260" s="632">
        <f>CCBASE!$I$7*B260/1000</f>
        <v>78.855699999999999</v>
      </c>
      <c r="O260" s="632">
        <f>CCBASE!$I$45*B260/1000</f>
        <v>24.925000000000001</v>
      </c>
      <c r="P260" s="632"/>
      <c r="Q260" s="632">
        <f>CCBASE!$H$51</f>
        <v>5.16</v>
      </c>
      <c r="R260" s="632">
        <f>CCBASE!$I$4</f>
        <v>8.3986041999999994</v>
      </c>
      <c r="S260" s="632">
        <f>CCBASE!$I$8</f>
        <v>16.25526</v>
      </c>
      <c r="T260" s="632">
        <f>CCBASE!$I$44</f>
        <v>94.69</v>
      </c>
      <c r="U260" s="632">
        <f>CCBASE!$I$47*2</f>
        <v>28.82</v>
      </c>
      <c r="V260" s="632">
        <f>CCBASE!$I$46</f>
        <v>2.44</v>
      </c>
      <c r="W260" s="632">
        <f>CCBASE!$I$42*B260/1000</f>
        <v>177.20147500000002</v>
      </c>
      <c r="X260" s="632"/>
      <c r="Y260" s="632"/>
      <c r="Z260" s="632"/>
      <c r="AA260" s="632"/>
      <c r="AB260" s="632"/>
      <c r="AC260" s="632"/>
      <c r="AD260" s="632">
        <f>CCBASE!$I$38*2</f>
        <v>272.06745999999998</v>
      </c>
    </row>
    <row r="261" spans="1:30" x14ac:dyDescent="0.2">
      <c r="A261" s="630" t="s">
        <v>132</v>
      </c>
      <c r="B261" s="630">
        <v>2750</v>
      </c>
      <c r="C261" s="630">
        <v>1750</v>
      </c>
      <c r="D261" s="630" t="str">
        <f t="shared" ref="D261" si="105">A261&amp;B261&amp;C261</f>
        <v>KVF27501750</v>
      </c>
      <c r="E261" s="1046">
        <f t="shared" si="104"/>
        <v>2642.6792455250006</v>
      </c>
      <c r="F261" s="631">
        <v>25.5</v>
      </c>
      <c r="G261" s="632">
        <f>F261*CCBASE!$B$51</f>
        <v>918</v>
      </c>
      <c r="H261" s="632">
        <f>CCBASE!$I$12*B261/1000</f>
        <v>329.03897757500005</v>
      </c>
      <c r="I261" s="632"/>
      <c r="J261" s="632"/>
      <c r="K261" s="632"/>
      <c r="L261" s="632">
        <f>CCBASE!$I$13*B261/1000</f>
        <v>658.72855125000001</v>
      </c>
      <c r="M261" s="632"/>
      <c r="N261" s="632">
        <f>CCBASE!$I$7*B261/1000</f>
        <v>86.74127</v>
      </c>
      <c r="O261" s="632">
        <f>CCBASE!$I$45*B261/1000</f>
        <v>27.4175</v>
      </c>
      <c r="P261" s="632"/>
      <c r="Q261" s="632">
        <f>CCBASE!$H$51</f>
        <v>5.16</v>
      </c>
      <c r="R261" s="632">
        <f>CCBASE!$I$4</f>
        <v>8.3986041999999994</v>
      </c>
      <c r="S261" s="632">
        <f>CCBASE!$I$8</f>
        <v>16.25526</v>
      </c>
      <c r="T261" s="632">
        <f>CCBASE!$I$44</f>
        <v>94.69</v>
      </c>
      <c r="U261" s="632">
        <f>CCBASE!$I$47*2</f>
        <v>28.82</v>
      </c>
      <c r="V261" s="632">
        <f>CCBASE!$I$46</f>
        <v>2.44</v>
      </c>
      <c r="W261" s="632">
        <f>CCBASE!$I$42*B261/1000</f>
        <v>194.92162249999998</v>
      </c>
      <c r="X261" s="632"/>
      <c r="Y261" s="632"/>
      <c r="Z261" s="632"/>
      <c r="AA261" s="632"/>
      <c r="AB261" s="632"/>
      <c r="AC261" s="632"/>
      <c r="AD261" s="632">
        <f>CCBASE!$I$38*2</f>
        <v>272.06745999999998</v>
      </c>
    </row>
    <row r="262" spans="1:30" x14ac:dyDescent="0.2">
      <c r="A262" s="630" t="s">
        <v>132</v>
      </c>
      <c r="B262" s="630">
        <v>3000</v>
      </c>
      <c r="C262" s="630">
        <v>1750</v>
      </c>
      <c r="D262" s="630" t="str">
        <f t="shared" si="90"/>
        <v>KVF30001750</v>
      </c>
      <c r="E262" s="1046">
        <f t="shared" si="104"/>
        <v>2760.5745110999997</v>
      </c>
      <c r="F262" s="631">
        <v>25.5</v>
      </c>
      <c r="G262" s="632">
        <f>F262*CCBASE!$B$51</f>
        <v>918</v>
      </c>
      <c r="H262" s="632">
        <f>CCBASE!$I$12*B262/1000</f>
        <v>358.95161190000005</v>
      </c>
      <c r="I262" s="632"/>
      <c r="J262" s="632"/>
      <c r="K262" s="632"/>
      <c r="L262" s="632">
        <f>CCBASE!$I$13*B262/1000</f>
        <v>718.61296499999992</v>
      </c>
      <c r="M262" s="632"/>
      <c r="N262" s="632">
        <f>CCBASE!$I$7*B262/1000</f>
        <v>94.626840000000016</v>
      </c>
      <c r="O262" s="632">
        <f>CCBASE!$I$45*B262/1000</f>
        <v>29.910000000000004</v>
      </c>
      <c r="P262" s="632"/>
      <c r="Q262" s="632">
        <f>CCBASE!$H$51</f>
        <v>5.16</v>
      </c>
      <c r="R262" s="632">
        <f>CCBASE!$I$4</f>
        <v>8.3986041999999994</v>
      </c>
      <c r="S262" s="632">
        <f>CCBASE!$I$8</f>
        <v>16.25526</v>
      </c>
      <c r="T262" s="632">
        <f>CCBASE!$I$44</f>
        <v>94.69</v>
      </c>
      <c r="U262" s="632">
        <f>CCBASE!$I$47*2</f>
        <v>28.82</v>
      </c>
      <c r="V262" s="632">
        <f>CCBASE!$I$46</f>
        <v>2.44</v>
      </c>
      <c r="W262" s="632">
        <f>CCBASE!$I$42*B262/1000</f>
        <v>212.64176999999998</v>
      </c>
      <c r="X262" s="632"/>
      <c r="Y262" s="632"/>
      <c r="Z262" s="632"/>
      <c r="AA262" s="632"/>
      <c r="AB262" s="632"/>
      <c r="AC262" s="632"/>
      <c r="AD262" s="632">
        <f>CCBASE!$I$38*2</f>
        <v>272.06745999999998</v>
      </c>
    </row>
    <row r="263" spans="1:30" x14ac:dyDescent="0.2">
      <c r="A263" s="630" t="s">
        <v>132</v>
      </c>
      <c r="B263" s="630">
        <v>1000</v>
      </c>
      <c r="C263" s="630">
        <v>2000</v>
      </c>
      <c r="D263" s="630" t="str">
        <f t="shared" ref="D263:D276" si="106">A263&amp;B263&amp;C263</f>
        <v>KVF10002000</v>
      </c>
      <c r="E263" s="1046">
        <f t="shared" si="104"/>
        <v>1822.5616825</v>
      </c>
      <c r="F263" s="631">
        <v>24.5</v>
      </c>
      <c r="G263" s="632">
        <f>F263*CCBASE!$B$51</f>
        <v>882</v>
      </c>
      <c r="H263" s="632">
        <f>CCBASE!$I$12*B263/1000</f>
        <v>119.65053730000001</v>
      </c>
      <c r="I263" s="632"/>
      <c r="J263" s="632"/>
      <c r="K263" s="632"/>
      <c r="L263" s="632">
        <f>CCBASE!$I$13*B263/1000</f>
        <v>239.537655</v>
      </c>
      <c r="M263" s="632"/>
      <c r="N263" s="632">
        <f>CCBASE!$I$7*B263/1000</f>
        <v>31.542280000000002</v>
      </c>
      <c r="O263" s="632">
        <f>CCBASE!$I$45*B263/1000</f>
        <v>9.9700000000000006</v>
      </c>
      <c r="P263" s="632"/>
      <c r="Q263" s="632">
        <f>CCBASE!$H$51</f>
        <v>5.16</v>
      </c>
      <c r="R263" s="632">
        <f>CCBASE!$I$4</f>
        <v>8.3986041999999994</v>
      </c>
      <c r="S263" s="632">
        <f>CCBASE!$I$8</f>
        <v>16.25526</v>
      </c>
      <c r="T263" s="632">
        <f>CCBASE!$I$44</f>
        <v>94.69</v>
      </c>
      <c r="U263" s="632">
        <f>CCBASE!$I$47</f>
        <v>14.41</v>
      </c>
      <c r="V263" s="632">
        <f>CCBASE!$I$46/2</f>
        <v>1.22</v>
      </c>
      <c r="W263" s="632">
        <f>CCBASE!$I$43*B263/1000</f>
        <v>88.624119999999991</v>
      </c>
      <c r="X263" s="632"/>
      <c r="Y263" s="632"/>
      <c r="Z263" s="632"/>
      <c r="AA263" s="632"/>
      <c r="AB263" s="632"/>
      <c r="AC263" s="632"/>
      <c r="AD263" s="632">
        <f>CCBASE!$I$39*2</f>
        <v>311.10322599999995</v>
      </c>
    </row>
    <row r="264" spans="1:30" x14ac:dyDescent="0.2">
      <c r="A264" s="630" t="s">
        <v>132</v>
      </c>
      <c r="B264" s="630">
        <v>1250</v>
      </c>
      <c r="C264" s="630">
        <v>2000</v>
      </c>
      <c r="D264" s="630" t="str">
        <f t="shared" ref="D264" si="107">A264&amp;B264&amp;C264</f>
        <v>KVF12502000</v>
      </c>
      <c r="E264" s="1046">
        <f t="shared" si="104"/>
        <v>1959.3028305750001</v>
      </c>
      <c r="F264" s="631">
        <v>24.5</v>
      </c>
      <c r="G264" s="632">
        <f>F264*CCBASE!$B$51</f>
        <v>882</v>
      </c>
      <c r="H264" s="632">
        <f>CCBASE!$I$12*B264/1000</f>
        <v>149.56317162500002</v>
      </c>
      <c r="I264" s="632"/>
      <c r="J264" s="632"/>
      <c r="K264" s="632"/>
      <c r="L264" s="632">
        <f>CCBASE!$I$13*B264/1000</f>
        <v>299.42206874999999</v>
      </c>
      <c r="M264" s="632"/>
      <c r="N264" s="632">
        <f>CCBASE!$I$7*B264/1000</f>
        <v>39.427849999999999</v>
      </c>
      <c r="O264" s="632">
        <f>CCBASE!$I$45*B264/1000</f>
        <v>12.4625</v>
      </c>
      <c r="P264" s="632"/>
      <c r="Q264" s="632">
        <f>CCBASE!$H$51</f>
        <v>5.16</v>
      </c>
      <c r="R264" s="632">
        <f>CCBASE!$I$4</f>
        <v>8.3986041999999994</v>
      </c>
      <c r="S264" s="632">
        <f>CCBASE!$I$8</f>
        <v>16.25526</v>
      </c>
      <c r="T264" s="632">
        <f>CCBASE!$I$44</f>
        <v>94.69</v>
      </c>
      <c r="U264" s="632">
        <f>CCBASE!$I$47*2</f>
        <v>28.82</v>
      </c>
      <c r="V264" s="632">
        <f>CCBASE!$I$46/2</f>
        <v>1.22</v>
      </c>
      <c r="W264" s="632">
        <f>CCBASE!$I$43*B264/1000</f>
        <v>110.78014999999999</v>
      </c>
      <c r="X264" s="632"/>
      <c r="Y264" s="632"/>
      <c r="Z264" s="632"/>
      <c r="AA264" s="632"/>
      <c r="AB264" s="632"/>
      <c r="AC264" s="632"/>
      <c r="AD264" s="632">
        <f>CCBASE!$I$39*2</f>
        <v>311.10322599999995</v>
      </c>
    </row>
    <row r="265" spans="1:30" x14ac:dyDescent="0.2">
      <c r="A265" s="630" t="s">
        <v>132</v>
      </c>
      <c r="B265" s="630">
        <v>1500</v>
      </c>
      <c r="C265" s="630">
        <v>2000</v>
      </c>
      <c r="D265" s="630" t="str">
        <f t="shared" si="106"/>
        <v>KVF15002000</v>
      </c>
      <c r="E265" s="1046">
        <f t="shared" si="104"/>
        <v>2081.6339786499993</v>
      </c>
      <c r="F265" s="631">
        <v>24.5</v>
      </c>
      <c r="G265" s="632">
        <f>F265*CCBASE!$B$51</f>
        <v>882</v>
      </c>
      <c r="H265" s="632">
        <f>CCBASE!$I$12*B265/1000</f>
        <v>179.47580595000002</v>
      </c>
      <c r="I265" s="632"/>
      <c r="J265" s="632"/>
      <c r="K265" s="632"/>
      <c r="L265" s="632">
        <f>CCBASE!$I$13*B265/1000</f>
        <v>359.30648249999996</v>
      </c>
      <c r="M265" s="632"/>
      <c r="N265" s="632">
        <f>CCBASE!$I$7*B265/1000</f>
        <v>47.313420000000008</v>
      </c>
      <c r="O265" s="632">
        <f>CCBASE!$I$45*B265/1000</f>
        <v>14.955000000000002</v>
      </c>
      <c r="P265" s="632"/>
      <c r="Q265" s="632">
        <f>CCBASE!$H$51</f>
        <v>5.16</v>
      </c>
      <c r="R265" s="632">
        <f>CCBASE!$I$4</f>
        <v>8.3986041999999994</v>
      </c>
      <c r="S265" s="632">
        <f>CCBASE!$I$8</f>
        <v>16.25526</v>
      </c>
      <c r="T265" s="632">
        <f>CCBASE!$I$44</f>
        <v>94.69</v>
      </c>
      <c r="U265" s="632">
        <f>CCBASE!$I$47*2</f>
        <v>28.82</v>
      </c>
      <c r="V265" s="632">
        <f>CCBASE!$I$46/2</f>
        <v>1.22</v>
      </c>
      <c r="W265" s="632">
        <f>CCBASE!$I$43*B265/1000</f>
        <v>132.93617999999998</v>
      </c>
      <c r="X265" s="632"/>
      <c r="Y265" s="632"/>
      <c r="Z265" s="632"/>
      <c r="AA265" s="632"/>
      <c r="AB265" s="632"/>
      <c r="AC265" s="632"/>
      <c r="AD265" s="632">
        <f>CCBASE!$I$39*2</f>
        <v>311.10322599999995</v>
      </c>
    </row>
    <row r="266" spans="1:30" x14ac:dyDescent="0.2">
      <c r="A266" s="630" t="s">
        <v>132</v>
      </c>
      <c r="B266" s="630">
        <v>1750</v>
      </c>
      <c r="C266" s="630">
        <v>2000</v>
      </c>
      <c r="D266" s="630" t="str">
        <f t="shared" ref="D266" si="108">A266&amp;B266&amp;C266</f>
        <v>KVF17502000</v>
      </c>
      <c r="E266" s="1046">
        <f t="shared" si="104"/>
        <v>2205.1851267249999</v>
      </c>
      <c r="F266" s="631">
        <v>24.5</v>
      </c>
      <c r="G266" s="632">
        <f>F266*CCBASE!$B$51</f>
        <v>882</v>
      </c>
      <c r="H266" s="632">
        <f>CCBASE!$I$12*B266/1000</f>
        <v>209.38844027500002</v>
      </c>
      <c r="I266" s="632"/>
      <c r="J266" s="632"/>
      <c r="K266" s="632"/>
      <c r="L266" s="632">
        <f>CCBASE!$I$13*B266/1000</f>
        <v>419.19089624999998</v>
      </c>
      <c r="M266" s="632"/>
      <c r="N266" s="632">
        <f>CCBASE!$I$7*B266/1000</f>
        <v>55.198990000000002</v>
      </c>
      <c r="O266" s="632">
        <f>CCBASE!$I$45*B266/1000</f>
        <v>17.447500000000002</v>
      </c>
      <c r="P266" s="632"/>
      <c r="Q266" s="632">
        <f>CCBASE!$H$51</f>
        <v>5.16</v>
      </c>
      <c r="R266" s="632">
        <f>CCBASE!$I$4</f>
        <v>8.3986041999999994</v>
      </c>
      <c r="S266" s="632">
        <f>CCBASE!$I$8</f>
        <v>16.25526</v>
      </c>
      <c r="T266" s="632">
        <f>CCBASE!$I$44</f>
        <v>94.69</v>
      </c>
      <c r="U266" s="632">
        <f>CCBASE!$I$47*2</f>
        <v>28.82</v>
      </c>
      <c r="V266" s="632">
        <f>CCBASE!$I$46</f>
        <v>2.44</v>
      </c>
      <c r="W266" s="632">
        <f>CCBASE!$I$43*B266/1000</f>
        <v>155.09220999999999</v>
      </c>
      <c r="X266" s="632"/>
      <c r="Y266" s="632"/>
      <c r="Z266" s="632"/>
      <c r="AA266" s="632"/>
      <c r="AB266" s="632"/>
      <c r="AC266" s="632"/>
      <c r="AD266" s="632">
        <f>CCBASE!$I$39*2</f>
        <v>311.10322599999995</v>
      </c>
    </row>
    <row r="267" spans="1:30" x14ac:dyDescent="0.2">
      <c r="A267" s="630" t="s">
        <v>132</v>
      </c>
      <c r="B267" s="630">
        <v>2000</v>
      </c>
      <c r="C267" s="630">
        <v>2000</v>
      </c>
      <c r="D267" s="630" t="str">
        <f t="shared" si="106"/>
        <v>KVF20002000</v>
      </c>
      <c r="E267" s="1046">
        <f t="shared" si="104"/>
        <v>2327.5162747999998</v>
      </c>
      <c r="F267" s="631">
        <v>24.5</v>
      </c>
      <c r="G267" s="632">
        <f>F267*CCBASE!$B$51</f>
        <v>882</v>
      </c>
      <c r="H267" s="632">
        <f>CCBASE!$I$12*B267/1000</f>
        <v>239.30107460000002</v>
      </c>
      <c r="I267" s="632"/>
      <c r="J267" s="632"/>
      <c r="K267" s="632"/>
      <c r="L267" s="632">
        <f>CCBASE!$I$13*B267/1000</f>
        <v>479.07531</v>
      </c>
      <c r="M267" s="632"/>
      <c r="N267" s="632">
        <f>CCBASE!$I$7*B267/1000</f>
        <v>63.084560000000003</v>
      </c>
      <c r="O267" s="632">
        <f>CCBASE!$I$45*B267/1000</f>
        <v>19.940000000000001</v>
      </c>
      <c r="P267" s="632"/>
      <c r="Q267" s="632">
        <f>CCBASE!$H$51</f>
        <v>5.16</v>
      </c>
      <c r="R267" s="632">
        <f>CCBASE!$I$4</f>
        <v>8.3986041999999994</v>
      </c>
      <c r="S267" s="632">
        <f>CCBASE!$I$8</f>
        <v>16.25526</v>
      </c>
      <c r="T267" s="632">
        <f>CCBASE!$I$44</f>
        <v>94.69</v>
      </c>
      <c r="U267" s="632">
        <f>CCBASE!$I$47*2</f>
        <v>28.82</v>
      </c>
      <c r="V267" s="632">
        <f>CCBASE!$I$46</f>
        <v>2.44</v>
      </c>
      <c r="W267" s="632">
        <f>CCBASE!$I$43*B267/1000</f>
        <v>177.24823999999998</v>
      </c>
      <c r="X267" s="632"/>
      <c r="Y267" s="632"/>
      <c r="Z267" s="632"/>
      <c r="AA267" s="632"/>
      <c r="AB267" s="632"/>
      <c r="AC267" s="632"/>
      <c r="AD267" s="632">
        <f>CCBASE!$I$39*2</f>
        <v>311.10322599999995</v>
      </c>
    </row>
    <row r="268" spans="1:30" x14ac:dyDescent="0.2">
      <c r="A268" s="630" t="s">
        <v>132</v>
      </c>
      <c r="B268" s="630">
        <v>2250</v>
      </c>
      <c r="C268" s="630">
        <v>2000</v>
      </c>
      <c r="D268" s="630" t="str">
        <f t="shared" ref="D268" si="109">A268&amp;B268&amp;C268</f>
        <v>KVF22502000</v>
      </c>
      <c r="E268" s="1046">
        <f t="shared" si="104"/>
        <v>2485.8474228750001</v>
      </c>
      <c r="F268" s="631">
        <v>25.5</v>
      </c>
      <c r="G268" s="632">
        <f>F268*CCBASE!$B$51</f>
        <v>918</v>
      </c>
      <c r="H268" s="632">
        <f>CCBASE!$I$12*B268/1000</f>
        <v>269.21370892500005</v>
      </c>
      <c r="I268" s="632"/>
      <c r="J268" s="632"/>
      <c r="K268" s="632"/>
      <c r="L268" s="632">
        <f>CCBASE!$I$13*B268/1000</f>
        <v>538.95972374999997</v>
      </c>
      <c r="M268" s="632"/>
      <c r="N268" s="632">
        <f>CCBASE!$I$7*B268/1000</f>
        <v>70.970130000000012</v>
      </c>
      <c r="O268" s="632">
        <f>CCBASE!$I$45*B268/1000</f>
        <v>22.432500000000001</v>
      </c>
      <c r="P268" s="632"/>
      <c r="Q268" s="632">
        <f>CCBASE!$H$51</f>
        <v>5.16</v>
      </c>
      <c r="R268" s="632">
        <f>CCBASE!$I$4</f>
        <v>8.3986041999999994</v>
      </c>
      <c r="S268" s="632">
        <f>CCBASE!$I$8</f>
        <v>16.25526</v>
      </c>
      <c r="T268" s="632">
        <f>CCBASE!$I$44</f>
        <v>94.69</v>
      </c>
      <c r="U268" s="632">
        <f>CCBASE!$I$47*2</f>
        <v>28.82</v>
      </c>
      <c r="V268" s="632">
        <f>CCBASE!$I$46</f>
        <v>2.44</v>
      </c>
      <c r="W268" s="632">
        <f>CCBASE!$I$43*B268/1000</f>
        <v>199.40427</v>
      </c>
      <c r="X268" s="632"/>
      <c r="Y268" s="632"/>
      <c r="Z268" s="632"/>
      <c r="AA268" s="632"/>
      <c r="AB268" s="632"/>
      <c r="AC268" s="632"/>
      <c r="AD268" s="632">
        <f>CCBASE!$I$39*2</f>
        <v>311.10322599999995</v>
      </c>
    </row>
    <row r="269" spans="1:30" x14ac:dyDescent="0.2">
      <c r="A269" s="630" t="s">
        <v>132</v>
      </c>
      <c r="B269" s="630">
        <v>2500</v>
      </c>
      <c r="C269" s="630">
        <v>2000</v>
      </c>
      <c r="D269" s="630" t="str">
        <f t="shared" si="106"/>
        <v>KVF25002000</v>
      </c>
      <c r="E269" s="1046">
        <f t="shared" si="104"/>
        <v>2608.17857095</v>
      </c>
      <c r="F269" s="631">
        <v>25.5</v>
      </c>
      <c r="G269" s="632">
        <f>F269*CCBASE!$B$51</f>
        <v>918</v>
      </c>
      <c r="H269" s="632">
        <f>CCBASE!$I$12*B269/1000</f>
        <v>299.12634325000005</v>
      </c>
      <c r="I269" s="632"/>
      <c r="J269" s="632"/>
      <c r="K269" s="632"/>
      <c r="L269" s="632">
        <f>CCBASE!$I$13*B269/1000</f>
        <v>598.84413749999999</v>
      </c>
      <c r="M269" s="632"/>
      <c r="N269" s="632">
        <f>CCBASE!$I$7*B269/1000</f>
        <v>78.855699999999999</v>
      </c>
      <c r="O269" s="632">
        <f>CCBASE!$I$45*B269/1000</f>
        <v>24.925000000000001</v>
      </c>
      <c r="P269" s="632"/>
      <c r="Q269" s="632">
        <f>CCBASE!$H$51</f>
        <v>5.16</v>
      </c>
      <c r="R269" s="632">
        <f>CCBASE!$I$4</f>
        <v>8.3986041999999994</v>
      </c>
      <c r="S269" s="632">
        <f>CCBASE!$I$8</f>
        <v>16.25526</v>
      </c>
      <c r="T269" s="632">
        <f>CCBASE!$I$44</f>
        <v>94.69</v>
      </c>
      <c r="U269" s="632">
        <f>CCBASE!$I$47*2</f>
        <v>28.82</v>
      </c>
      <c r="V269" s="632">
        <f>CCBASE!$I$46</f>
        <v>2.44</v>
      </c>
      <c r="W269" s="632">
        <f>CCBASE!$I$43*B269/1000</f>
        <v>221.56029999999998</v>
      </c>
      <c r="X269" s="632"/>
      <c r="Y269" s="632"/>
      <c r="Z269" s="632"/>
      <c r="AA269" s="632"/>
      <c r="AB269" s="632"/>
      <c r="AC269" s="632"/>
      <c r="AD269" s="632">
        <f>CCBASE!$I$39*2</f>
        <v>311.10322599999995</v>
      </c>
    </row>
    <row r="270" spans="1:30" x14ac:dyDescent="0.2">
      <c r="A270" s="630" t="s">
        <v>132</v>
      </c>
      <c r="B270" s="630">
        <v>2750</v>
      </c>
      <c r="C270" s="630">
        <v>2000</v>
      </c>
      <c r="D270" s="630" t="str">
        <f t="shared" ref="D270" si="110">A270&amp;B270&amp;C270</f>
        <v>KVF27502000</v>
      </c>
      <c r="E270" s="1046">
        <f t="shared" si="104"/>
        <v>2730.5097190250008</v>
      </c>
      <c r="F270" s="631">
        <v>25.5</v>
      </c>
      <c r="G270" s="632">
        <f>F270*CCBASE!$B$51</f>
        <v>918</v>
      </c>
      <c r="H270" s="632">
        <f>CCBASE!$I$12*B270/1000</f>
        <v>329.03897757500005</v>
      </c>
      <c r="I270" s="632"/>
      <c r="J270" s="632"/>
      <c r="K270" s="632"/>
      <c r="L270" s="632">
        <f>CCBASE!$I$13*B270/1000</f>
        <v>658.72855125000001</v>
      </c>
      <c r="M270" s="632"/>
      <c r="N270" s="632">
        <f>CCBASE!$I$7*B270/1000</f>
        <v>86.74127</v>
      </c>
      <c r="O270" s="632">
        <f>CCBASE!$I$45*B270/1000</f>
        <v>27.4175</v>
      </c>
      <c r="P270" s="632"/>
      <c r="Q270" s="632">
        <f>CCBASE!$H$51</f>
        <v>5.16</v>
      </c>
      <c r="R270" s="632">
        <f>CCBASE!$I$4</f>
        <v>8.3986041999999994</v>
      </c>
      <c r="S270" s="632">
        <f>CCBASE!$I$8</f>
        <v>16.25526</v>
      </c>
      <c r="T270" s="632">
        <f>CCBASE!$I$44</f>
        <v>94.69</v>
      </c>
      <c r="U270" s="632">
        <f>CCBASE!$I$47*2</f>
        <v>28.82</v>
      </c>
      <c r="V270" s="632">
        <f>CCBASE!$I$46</f>
        <v>2.44</v>
      </c>
      <c r="W270" s="632">
        <f>CCBASE!$I$43*B270/1000</f>
        <v>243.71633</v>
      </c>
      <c r="X270" s="632"/>
      <c r="Y270" s="632"/>
      <c r="Z270" s="632"/>
      <c r="AA270" s="632"/>
      <c r="AB270" s="632"/>
      <c r="AC270" s="632"/>
      <c r="AD270" s="632">
        <f>CCBASE!$I$39*2</f>
        <v>311.10322599999995</v>
      </c>
    </row>
    <row r="271" spans="1:30" x14ac:dyDescent="0.2">
      <c r="A271" s="630" t="s">
        <v>132</v>
      </c>
      <c r="B271" s="630">
        <v>3000</v>
      </c>
      <c r="C271" s="630">
        <v>2000</v>
      </c>
      <c r="D271" s="630" t="str">
        <f t="shared" si="106"/>
        <v>KVF30002000</v>
      </c>
      <c r="E271" s="1046">
        <f t="shared" si="104"/>
        <v>2852.8408670999997</v>
      </c>
      <c r="F271" s="631">
        <v>25.5</v>
      </c>
      <c r="G271" s="632">
        <f>F271*CCBASE!$B$51</f>
        <v>918</v>
      </c>
      <c r="H271" s="632">
        <f>CCBASE!$I$12*B271/1000</f>
        <v>358.95161190000005</v>
      </c>
      <c r="I271" s="632"/>
      <c r="J271" s="632"/>
      <c r="K271" s="632"/>
      <c r="L271" s="632">
        <f>CCBASE!$I$13*B271/1000</f>
        <v>718.61296499999992</v>
      </c>
      <c r="M271" s="632"/>
      <c r="N271" s="632">
        <f>CCBASE!$I$7*B271/1000</f>
        <v>94.626840000000016</v>
      </c>
      <c r="O271" s="632">
        <f>CCBASE!$I$45*B271/1000</f>
        <v>29.910000000000004</v>
      </c>
      <c r="P271" s="632"/>
      <c r="Q271" s="632">
        <f>CCBASE!$H$51</f>
        <v>5.16</v>
      </c>
      <c r="R271" s="632">
        <f>CCBASE!$I$4</f>
        <v>8.3986041999999994</v>
      </c>
      <c r="S271" s="632">
        <f>CCBASE!$I$8</f>
        <v>16.25526</v>
      </c>
      <c r="T271" s="632">
        <f>CCBASE!$I$44</f>
        <v>94.69</v>
      </c>
      <c r="U271" s="632">
        <f>CCBASE!$I$47*2</f>
        <v>28.82</v>
      </c>
      <c r="V271" s="632">
        <f>CCBASE!$I$46</f>
        <v>2.44</v>
      </c>
      <c r="W271" s="632">
        <f>CCBASE!$I$43*B271/1000</f>
        <v>265.87235999999996</v>
      </c>
      <c r="X271" s="632"/>
      <c r="Y271" s="632"/>
      <c r="Z271" s="632"/>
      <c r="AA271" s="632"/>
      <c r="AB271" s="632"/>
      <c r="AC271" s="632"/>
      <c r="AD271" s="632">
        <f>CCBASE!$I$39*2</f>
        <v>311.10322599999995</v>
      </c>
    </row>
    <row r="272" spans="1:30" x14ac:dyDescent="0.2">
      <c r="A272" s="630" t="s">
        <v>759</v>
      </c>
      <c r="B272" s="630">
        <v>1000</v>
      </c>
      <c r="C272" s="630">
        <v>1000</v>
      </c>
      <c r="D272" s="630" t="str">
        <f t="shared" si="106"/>
        <v>CMWF10001000</v>
      </c>
      <c r="E272" s="1046">
        <f t="shared" si="104"/>
        <v>1655.7725005</v>
      </c>
      <c r="F272" s="631">
        <v>24.5</v>
      </c>
      <c r="G272" s="632">
        <f>F272*CCBASE!$B$51</f>
        <v>882</v>
      </c>
      <c r="H272" s="632">
        <f>CCBASE!$I$12*B272/1000</f>
        <v>119.65053730000001</v>
      </c>
      <c r="I272" s="632"/>
      <c r="J272" s="632"/>
      <c r="K272" s="632"/>
      <c r="L272" s="632">
        <f>CCBASE!$I$13*B272/1000</f>
        <v>239.537655</v>
      </c>
      <c r="M272" s="632"/>
      <c r="N272" s="632">
        <f>CCBASE!$I$7*B272/1000</f>
        <v>31.542280000000002</v>
      </c>
      <c r="O272" s="632">
        <f>CCBASE!$I$45*B272/1000</f>
        <v>9.9700000000000006</v>
      </c>
      <c r="P272" s="632"/>
      <c r="Q272" s="632">
        <f>CCBASE!$H$51</f>
        <v>5.16</v>
      </c>
      <c r="R272" s="632">
        <f>CCBASE!$I$4</f>
        <v>8.3986041999999994</v>
      </c>
      <c r="S272" s="632">
        <f>CCBASE!$I$8</f>
        <v>16.25526</v>
      </c>
      <c r="T272" s="632">
        <f>CCBASE!$I$44</f>
        <v>94.69</v>
      </c>
      <c r="U272" s="632">
        <f>CCBASE!$I$47</f>
        <v>14.41</v>
      </c>
      <c r="V272" s="632">
        <f>CCBASE!$I$46/2</f>
        <v>1.22</v>
      </c>
      <c r="W272" s="632">
        <f>CCBASE!$I$40*B272/1000</f>
        <v>41.308039999999998</v>
      </c>
      <c r="X272" s="632"/>
      <c r="Y272" s="632"/>
      <c r="Z272" s="632"/>
      <c r="AA272" s="632"/>
      <c r="AB272" s="632"/>
      <c r="AC272" s="632"/>
      <c r="AD272" s="632">
        <f>CCBASE!$I$36*2</f>
        <v>191.630124</v>
      </c>
    </row>
    <row r="273" spans="1:30" x14ac:dyDescent="0.2">
      <c r="A273" s="630" t="s">
        <v>759</v>
      </c>
      <c r="B273" s="630">
        <v>1250</v>
      </c>
      <c r="C273" s="630">
        <v>1000</v>
      </c>
      <c r="D273" s="630" t="str">
        <f t="shared" si="106"/>
        <v>CMWF12501000</v>
      </c>
      <c r="E273" s="1046">
        <f t="shared" si="104"/>
        <v>1780.6846285750003</v>
      </c>
      <c r="F273" s="631">
        <v>24.5</v>
      </c>
      <c r="G273" s="632">
        <f>F273*CCBASE!$B$51</f>
        <v>882</v>
      </c>
      <c r="H273" s="632">
        <f>CCBASE!$I$12*B273/1000</f>
        <v>149.56317162500002</v>
      </c>
      <c r="I273" s="632"/>
      <c r="J273" s="632"/>
      <c r="K273" s="632"/>
      <c r="L273" s="632">
        <f>CCBASE!$I$13*B273/1000</f>
        <v>299.42206874999999</v>
      </c>
      <c r="M273" s="632"/>
      <c r="N273" s="632">
        <f>CCBASE!$I$7*B273/1000</f>
        <v>39.427849999999999</v>
      </c>
      <c r="O273" s="632">
        <f>CCBASE!$I$45*B273/1000</f>
        <v>12.4625</v>
      </c>
      <c r="P273" s="632"/>
      <c r="Q273" s="632">
        <f>CCBASE!$H$51</f>
        <v>5.16</v>
      </c>
      <c r="R273" s="632">
        <f>CCBASE!$I$4</f>
        <v>8.3986041999999994</v>
      </c>
      <c r="S273" s="632">
        <f>CCBASE!$I$8</f>
        <v>16.25526</v>
      </c>
      <c r="T273" s="632">
        <f>CCBASE!$I$44</f>
        <v>94.69</v>
      </c>
      <c r="U273" s="632">
        <f>CCBASE!$I$47*2</f>
        <v>28.82</v>
      </c>
      <c r="V273" s="632">
        <f>CCBASE!$I$46/2</f>
        <v>1.22</v>
      </c>
      <c r="W273" s="632">
        <f>CCBASE!$I$40*B273/1000</f>
        <v>51.635049999999993</v>
      </c>
      <c r="X273" s="632"/>
      <c r="Y273" s="632"/>
      <c r="Z273" s="632"/>
      <c r="AA273" s="632"/>
      <c r="AB273" s="632"/>
      <c r="AC273" s="632"/>
      <c r="AD273" s="632">
        <f>CCBASE!$I$36*2</f>
        <v>191.630124</v>
      </c>
    </row>
    <row r="274" spans="1:30" x14ac:dyDescent="0.2">
      <c r="A274" s="630" t="s">
        <v>759</v>
      </c>
      <c r="B274" s="630">
        <v>1500</v>
      </c>
      <c r="C274" s="630">
        <v>1000</v>
      </c>
      <c r="D274" s="630" t="str">
        <f t="shared" si="106"/>
        <v>CMWF15001000</v>
      </c>
      <c r="E274" s="1046">
        <f t="shared" si="104"/>
        <v>1891.1867566499998</v>
      </c>
      <c r="F274" s="631">
        <v>24.5</v>
      </c>
      <c r="G274" s="632">
        <f>F274*CCBASE!$B$51</f>
        <v>882</v>
      </c>
      <c r="H274" s="632">
        <f>CCBASE!$I$12*B274/1000</f>
        <v>179.47580595000002</v>
      </c>
      <c r="I274" s="632"/>
      <c r="J274" s="632"/>
      <c r="K274" s="632"/>
      <c r="L274" s="632">
        <f>CCBASE!$I$13*B274/1000</f>
        <v>359.30648249999996</v>
      </c>
      <c r="M274" s="632"/>
      <c r="N274" s="632">
        <f>CCBASE!$I$7*B274/1000</f>
        <v>47.313420000000008</v>
      </c>
      <c r="O274" s="632">
        <f>CCBASE!$I$45*B274/1000</f>
        <v>14.955000000000002</v>
      </c>
      <c r="P274" s="632"/>
      <c r="Q274" s="632">
        <f>CCBASE!$H$51</f>
        <v>5.16</v>
      </c>
      <c r="R274" s="632">
        <f>CCBASE!$I$4</f>
        <v>8.3986041999999994</v>
      </c>
      <c r="S274" s="632">
        <f>CCBASE!$I$8</f>
        <v>16.25526</v>
      </c>
      <c r="T274" s="632">
        <f>CCBASE!$I$44</f>
        <v>94.69</v>
      </c>
      <c r="U274" s="632">
        <f>CCBASE!$I$47*2</f>
        <v>28.82</v>
      </c>
      <c r="V274" s="632">
        <f>CCBASE!$I$46/2</f>
        <v>1.22</v>
      </c>
      <c r="W274" s="632">
        <f>CCBASE!$I$40*B274/1000</f>
        <v>61.962060000000001</v>
      </c>
      <c r="X274" s="632"/>
      <c r="Y274" s="632"/>
      <c r="Z274" s="632"/>
      <c r="AA274" s="632"/>
      <c r="AB274" s="632"/>
      <c r="AC274" s="632"/>
      <c r="AD274" s="632">
        <f>CCBASE!$I$36*2</f>
        <v>191.630124</v>
      </c>
    </row>
    <row r="275" spans="1:30" x14ac:dyDescent="0.2">
      <c r="A275" s="630" t="s">
        <v>759</v>
      </c>
      <c r="B275" s="630">
        <v>1750</v>
      </c>
      <c r="C275" s="630">
        <v>1000</v>
      </c>
      <c r="D275" s="630" t="str">
        <f t="shared" si="106"/>
        <v>CMWF17501000</v>
      </c>
      <c r="E275" s="1046">
        <f t="shared" si="104"/>
        <v>2002.908884725</v>
      </c>
      <c r="F275" s="631">
        <v>24.5</v>
      </c>
      <c r="G275" s="632">
        <f>F275*CCBASE!$B$51</f>
        <v>882</v>
      </c>
      <c r="H275" s="632">
        <f>CCBASE!$I$12*B275/1000</f>
        <v>209.38844027500002</v>
      </c>
      <c r="I275" s="632"/>
      <c r="J275" s="632"/>
      <c r="K275" s="632"/>
      <c r="L275" s="632">
        <f>CCBASE!$I$13*B275/1000</f>
        <v>419.19089624999998</v>
      </c>
      <c r="M275" s="632"/>
      <c r="N275" s="632">
        <f>CCBASE!$I$7*B275/1000</f>
        <v>55.198990000000002</v>
      </c>
      <c r="O275" s="632">
        <f>CCBASE!$I$45*B275/1000</f>
        <v>17.447500000000002</v>
      </c>
      <c r="P275" s="632"/>
      <c r="Q275" s="632">
        <f>CCBASE!$H$51</f>
        <v>5.16</v>
      </c>
      <c r="R275" s="632">
        <f>CCBASE!$I$4</f>
        <v>8.3986041999999994</v>
      </c>
      <c r="S275" s="632">
        <f>CCBASE!$I$8</f>
        <v>16.25526</v>
      </c>
      <c r="T275" s="632">
        <f>CCBASE!$I$44</f>
        <v>94.69</v>
      </c>
      <c r="U275" s="632">
        <f>CCBASE!$I$47*2</f>
        <v>28.82</v>
      </c>
      <c r="V275" s="632">
        <f>CCBASE!$I$46</f>
        <v>2.44</v>
      </c>
      <c r="W275" s="632">
        <f>CCBASE!$I$40*B275/1000</f>
        <v>72.289069999999995</v>
      </c>
      <c r="X275" s="632"/>
      <c r="Y275" s="632"/>
      <c r="Z275" s="632"/>
      <c r="AA275" s="632"/>
      <c r="AB275" s="632"/>
      <c r="AC275" s="632"/>
      <c r="AD275" s="632">
        <f>CCBASE!$I$36*2</f>
        <v>191.630124</v>
      </c>
    </row>
    <row r="276" spans="1:30" x14ac:dyDescent="0.2">
      <c r="A276" s="630" t="s">
        <v>759</v>
      </c>
      <c r="B276" s="630">
        <v>2000</v>
      </c>
      <c r="C276" s="630">
        <v>1000</v>
      </c>
      <c r="D276" s="630" t="str">
        <f t="shared" si="106"/>
        <v>CMWF20001000</v>
      </c>
      <c r="E276" s="1046">
        <f t="shared" si="104"/>
        <v>2113.4110127999998</v>
      </c>
      <c r="F276" s="631">
        <v>24.5</v>
      </c>
      <c r="G276" s="632">
        <f>F276*CCBASE!$B$51</f>
        <v>882</v>
      </c>
      <c r="H276" s="632">
        <f>CCBASE!$I$12*B276/1000</f>
        <v>239.30107460000002</v>
      </c>
      <c r="I276" s="632"/>
      <c r="J276" s="632"/>
      <c r="K276" s="632"/>
      <c r="L276" s="632">
        <f>CCBASE!$I$13*B276/1000</f>
        <v>479.07531</v>
      </c>
      <c r="M276" s="632"/>
      <c r="N276" s="632">
        <f>CCBASE!$I$7*B276/1000</f>
        <v>63.084560000000003</v>
      </c>
      <c r="O276" s="632">
        <f>CCBASE!$I$45*B276/1000</f>
        <v>19.940000000000001</v>
      </c>
      <c r="P276" s="632"/>
      <c r="Q276" s="632">
        <f>CCBASE!$H$51</f>
        <v>5.16</v>
      </c>
      <c r="R276" s="632">
        <f>CCBASE!$I$4</f>
        <v>8.3986041999999994</v>
      </c>
      <c r="S276" s="632">
        <f>CCBASE!$I$8</f>
        <v>16.25526</v>
      </c>
      <c r="T276" s="632">
        <f>CCBASE!$I$44</f>
        <v>94.69</v>
      </c>
      <c r="U276" s="632">
        <f>CCBASE!$I$47*2</f>
        <v>28.82</v>
      </c>
      <c r="V276" s="632">
        <f>CCBASE!$I$46</f>
        <v>2.44</v>
      </c>
      <c r="W276" s="632">
        <f>CCBASE!$I$40*B276/1000</f>
        <v>82.616079999999997</v>
      </c>
      <c r="X276" s="632"/>
      <c r="Y276" s="632"/>
      <c r="Z276" s="632"/>
      <c r="AA276" s="632"/>
      <c r="AB276" s="632"/>
      <c r="AC276" s="632"/>
      <c r="AD276" s="632">
        <f>CCBASE!$I$36*2</f>
        <v>191.630124</v>
      </c>
    </row>
    <row r="277" spans="1:30" x14ac:dyDescent="0.2">
      <c r="A277" s="630" t="s">
        <v>759</v>
      </c>
      <c r="B277" s="630">
        <v>2250</v>
      </c>
      <c r="C277" s="630">
        <v>1000</v>
      </c>
      <c r="D277" s="630" t="str">
        <f t="shared" si="90"/>
        <v>CMWF22501000</v>
      </c>
      <c r="E277" s="1046">
        <f t="shared" si="104"/>
        <v>2259.9131408749995</v>
      </c>
      <c r="F277" s="631">
        <v>25.5</v>
      </c>
      <c r="G277" s="632">
        <f>F277*CCBASE!$B$51</f>
        <v>918</v>
      </c>
      <c r="H277" s="632">
        <f>CCBASE!$I$12*B277/1000</f>
        <v>269.21370892500005</v>
      </c>
      <c r="I277" s="632"/>
      <c r="J277" s="632"/>
      <c r="K277" s="632"/>
      <c r="L277" s="632">
        <f>CCBASE!$I$13*B277/1000</f>
        <v>538.95972374999997</v>
      </c>
      <c r="M277" s="632"/>
      <c r="N277" s="632">
        <f>CCBASE!$I$7*B277/1000</f>
        <v>70.970130000000012</v>
      </c>
      <c r="O277" s="632">
        <f>CCBASE!$I$45*B277/1000</f>
        <v>22.432500000000001</v>
      </c>
      <c r="P277" s="632"/>
      <c r="Q277" s="632">
        <f>CCBASE!$H$51</f>
        <v>5.16</v>
      </c>
      <c r="R277" s="632">
        <f>CCBASE!$I$4</f>
        <v>8.3986041999999994</v>
      </c>
      <c r="S277" s="632">
        <f>CCBASE!$I$8</f>
        <v>16.25526</v>
      </c>
      <c r="T277" s="632">
        <f>CCBASE!$I$44</f>
        <v>94.69</v>
      </c>
      <c r="U277" s="632">
        <f>CCBASE!$I$47*2</f>
        <v>28.82</v>
      </c>
      <c r="V277" s="632">
        <f>CCBASE!$I$46</f>
        <v>2.44</v>
      </c>
      <c r="W277" s="632">
        <f>CCBASE!$I$40*B277/1000</f>
        <v>92.943089999999998</v>
      </c>
      <c r="X277" s="632"/>
      <c r="Y277" s="632"/>
      <c r="Z277" s="632"/>
      <c r="AA277" s="632"/>
      <c r="AB277" s="632"/>
      <c r="AC277" s="632"/>
      <c r="AD277" s="632">
        <f>CCBASE!$I$36*2</f>
        <v>191.630124</v>
      </c>
    </row>
    <row r="278" spans="1:30" x14ac:dyDescent="0.2">
      <c r="A278" s="630" t="s">
        <v>759</v>
      </c>
      <c r="B278" s="630">
        <v>2500</v>
      </c>
      <c r="C278" s="630">
        <v>1000</v>
      </c>
      <c r="D278" s="630" t="str">
        <f t="shared" si="90"/>
        <v>CMWF25001000</v>
      </c>
      <c r="E278" s="1046">
        <f t="shared" si="104"/>
        <v>2370.4152689500002</v>
      </c>
      <c r="F278" s="631">
        <v>25.5</v>
      </c>
      <c r="G278" s="632">
        <f>F278*CCBASE!$B$51</f>
        <v>918</v>
      </c>
      <c r="H278" s="632">
        <f>CCBASE!$I$12*B278/1000</f>
        <v>299.12634325000005</v>
      </c>
      <c r="I278" s="632"/>
      <c r="J278" s="632"/>
      <c r="K278" s="632"/>
      <c r="L278" s="632">
        <f>CCBASE!$I$13*B278/1000</f>
        <v>598.84413749999999</v>
      </c>
      <c r="M278" s="632"/>
      <c r="N278" s="632">
        <f>CCBASE!$I$7*B278/1000</f>
        <v>78.855699999999999</v>
      </c>
      <c r="O278" s="632">
        <f>CCBASE!$I$45*B278/1000</f>
        <v>24.925000000000001</v>
      </c>
      <c r="P278" s="632"/>
      <c r="Q278" s="632">
        <f>CCBASE!$H$51</f>
        <v>5.16</v>
      </c>
      <c r="R278" s="632">
        <f>CCBASE!$I$4</f>
        <v>8.3986041999999994</v>
      </c>
      <c r="S278" s="632">
        <f>CCBASE!$I$8</f>
        <v>16.25526</v>
      </c>
      <c r="T278" s="632">
        <f>CCBASE!$I$44</f>
        <v>94.69</v>
      </c>
      <c r="U278" s="632">
        <f>CCBASE!$I$47*2</f>
        <v>28.82</v>
      </c>
      <c r="V278" s="632">
        <f>CCBASE!$I$46</f>
        <v>2.44</v>
      </c>
      <c r="W278" s="632">
        <f>CCBASE!$I$40*B278/1000</f>
        <v>103.27009999999999</v>
      </c>
      <c r="X278" s="632"/>
      <c r="Y278" s="632"/>
      <c r="Z278" s="632"/>
      <c r="AA278" s="632"/>
      <c r="AB278" s="632"/>
      <c r="AC278" s="632"/>
      <c r="AD278" s="632">
        <f>CCBASE!$I$36*2</f>
        <v>191.630124</v>
      </c>
    </row>
    <row r="279" spans="1:30" x14ac:dyDescent="0.2">
      <c r="A279" s="630" t="s">
        <v>759</v>
      </c>
      <c r="B279" s="630">
        <v>2750</v>
      </c>
      <c r="C279" s="630">
        <v>1000</v>
      </c>
      <c r="D279" s="630" t="str">
        <f t="shared" si="90"/>
        <v>CMWF27501000</v>
      </c>
      <c r="E279" s="1046">
        <f t="shared" si="104"/>
        <v>2480.9173970250004</v>
      </c>
      <c r="F279" s="631">
        <v>25.5</v>
      </c>
      <c r="G279" s="632">
        <f>F279*CCBASE!$B$51</f>
        <v>918</v>
      </c>
      <c r="H279" s="632">
        <f>CCBASE!$I$12*B279/1000</f>
        <v>329.03897757500005</v>
      </c>
      <c r="I279" s="632"/>
      <c r="J279" s="632"/>
      <c r="K279" s="632"/>
      <c r="L279" s="632">
        <f>CCBASE!$I$13*B279/1000</f>
        <v>658.72855125000001</v>
      </c>
      <c r="M279" s="632"/>
      <c r="N279" s="632">
        <f>CCBASE!$I$7*B279/1000</f>
        <v>86.74127</v>
      </c>
      <c r="O279" s="632">
        <f>CCBASE!$I$45*B279/1000</f>
        <v>27.4175</v>
      </c>
      <c r="P279" s="632"/>
      <c r="Q279" s="632">
        <f>CCBASE!$H$51</f>
        <v>5.16</v>
      </c>
      <c r="R279" s="632">
        <f>CCBASE!$I$4</f>
        <v>8.3986041999999994</v>
      </c>
      <c r="S279" s="632">
        <f>CCBASE!$I$8</f>
        <v>16.25526</v>
      </c>
      <c r="T279" s="632">
        <f>CCBASE!$I$44</f>
        <v>94.69</v>
      </c>
      <c r="U279" s="632">
        <f>CCBASE!$I$47*2</f>
        <v>28.82</v>
      </c>
      <c r="V279" s="632">
        <f>CCBASE!$I$46</f>
        <v>2.44</v>
      </c>
      <c r="W279" s="632">
        <f>CCBASE!$I$40*B279/1000</f>
        <v>113.59711</v>
      </c>
      <c r="X279" s="632"/>
      <c r="Y279" s="632"/>
      <c r="Z279" s="632"/>
      <c r="AA279" s="632"/>
      <c r="AB279" s="632"/>
      <c r="AC279" s="632"/>
      <c r="AD279" s="632">
        <f>CCBASE!$I$36*2</f>
        <v>191.630124</v>
      </c>
    </row>
    <row r="280" spans="1:30" x14ac:dyDescent="0.2">
      <c r="A280" s="630" t="s">
        <v>759</v>
      </c>
      <c r="B280" s="630">
        <v>3000</v>
      </c>
      <c r="C280" s="630">
        <v>1000</v>
      </c>
      <c r="D280" s="630" t="str">
        <f t="shared" si="90"/>
        <v>CMWF30001000</v>
      </c>
      <c r="E280" s="1046">
        <f t="shared" si="104"/>
        <v>2591.4195250999996</v>
      </c>
      <c r="F280" s="631">
        <v>25.5</v>
      </c>
      <c r="G280" s="632">
        <f>F280*CCBASE!$B$51</f>
        <v>918</v>
      </c>
      <c r="H280" s="632">
        <f>CCBASE!$I$12*B280/1000</f>
        <v>358.95161190000005</v>
      </c>
      <c r="I280" s="632"/>
      <c r="J280" s="632"/>
      <c r="K280" s="632"/>
      <c r="L280" s="632">
        <f>CCBASE!$I$13*B280/1000</f>
        <v>718.61296499999992</v>
      </c>
      <c r="M280" s="632"/>
      <c r="N280" s="632">
        <f>CCBASE!$I$7*B280/1000</f>
        <v>94.626840000000016</v>
      </c>
      <c r="O280" s="632">
        <f>CCBASE!$I$45*B280/1000</f>
        <v>29.910000000000004</v>
      </c>
      <c r="P280" s="632"/>
      <c r="Q280" s="632">
        <f>CCBASE!$H$51</f>
        <v>5.16</v>
      </c>
      <c r="R280" s="632">
        <f>CCBASE!$I$4</f>
        <v>8.3986041999999994</v>
      </c>
      <c r="S280" s="632">
        <f>CCBASE!$I$8</f>
        <v>16.25526</v>
      </c>
      <c r="T280" s="632">
        <f>CCBASE!$I$44</f>
        <v>94.69</v>
      </c>
      <c r="U280" s="632">
        <f>CCBASE!$I$47*2</f>
        <v>28.82</v>
      </c>
      <c r="V280" s="632">
        <f>CCBASE!$I$46</f>
        <v>2.44</v>
      </c>
      <c r="W280" s="632">
        <f>CCBASE!$I$40*B280/1000</f>
        <v>123.92412</v>
      </c>
      <c r="X280" s="632"/>
      <c r="Y280" s="632"/>
      <c r="Z280" s="632"/>
      <c r="AA280" s="632"/>
      <c r="AB280" s="632"/>
      <c r="AC280" s="632"/>
      <c r="AD280" s="632">
        <f>CCBASE!$I$36*2</f>
        <v>191.630124</v>
      </c>
    </row>
    <row r="281" spans="1:30" x14ac:dyDescent="0.2">
      <c r="A281" s="630" t="s">
        <v>759</v>
      </c>
      <c r="B281" s="630">
        <v>1000</v>
      </c>
      <c r="C281" s="630">
        <v>1250</v>
      </c>
      <c r="D281" s="630" t="str">
        <f t="shared" si="90"/>
        <v>CMWF10001250</v>
      </c>
      <c r="E281" s="1046">
        <f t="shared" si="104"/>
        <v>1655.7725005</v>
      </c>
      <c r="F281" s="631">
        <v>24.5</v>
      </c>
      <c r="G281" s="632">
        <f>F281*CCBASE!$B$51</f>
        <v>882</v>
      </c>
      <c r="H281" s="632">
        <f>CCBASE!$I$12*B281/1000</f>
        <v>119.65053730000001</v>
      </c>
      <c r="I281" s="632"/>
      <c r="J281" s="632"/>
      <c r="K281" s="632"/>
      <c r="L281" s="632">
        <f>CCBASE!$I$13*B281/1000</f>
        <v>239.537655</v>
      </c>
      <c r="M281" s="632"/>
      <c r="N281" s="632">
        <f>CCBASE!$I$7*B281/1000</f>
        <v>31.542280000000002</v>
      </c>
      <c r="O281" s="632">
        <f>CCBASE!$I$45*B281/1000</f>
        <v>9.9700000000000006</v>
      </c>
      <c r="P281" s="632"/>
      <c r="Q281" s="632">
        <f>CCBASE!$H$51</f>
        <v>5.16</v>
      </c>
      <c r="R281" s="632">
        <f>CCBASE!$I$4</f>
        <v>8.3986041999999994</v>
      </c>
      <c r="S281" s="632">
        <f>CCBASE!$I$8</f>
        <v>16.25526</v>
      </c>
      <c r="T281" s="632">
        <f>CCBASE!$I$44</f>
        <v>94.69</v>
      </c>
      <c r="U281" s="632">
        <f>CCBASE!$I$47</f>
        <v>14.41</v>
      </c>
      <c r="V281" s="632">
        <f>CCBASE!$I$46/2</f>
        <v>1.22</v>
      </c>
      <c r="W281" s="632">
        <f>CCBASE!$I$40*B281/1000</f>
        <v>41.308039999999998</v>
      </c>
      <c r="X281" s="632"/>
      <c r="Y281" s="632"/>
      <c r="Z281" s="632"/>
      <c r="AA281" s="632"/>
      <c r="AB281" s="632"/>
      <c r="AC281" s="632"/>
      <c r="AD281" s="632">
        <f>CCBASE!$I$36*2</f>
        <v>191.630124</v>
      </c>
    </row>
    <row r="282" spans="1:30" x14ac:dyDescent="0.2">
      <c r="A282" s="630" t="s">
        <v>759</v>
      </c>
      <c r="B282" s="630">
        <v>1250</v>
      </c>
      <c r="C282" s="630">
        <v>1250</v>
      </c>
      <c r="D282" s="630" t="str">
        <f t="shared" ref="D282" si="111">A282&amp;B282&amp;C282</f>
        <v>CMWF12501250</v>
      </c>
      <c r="E282" s="1046">
        <f t="shared" si="104"/>
        <v>1780.6846285750003</v>
      </c>
      <c r="F282" s="631">
        <v>24.5</v>
      </c>
      <c r="G282" s="632">
        <f>F282*CCBASE!$B$51</f>
        <v>882</v>
      </c>
      <c r="H282" s="632">
        <f>CCBASE!$I$12*B282/1000</f>
        <v>149.56317162500002</v>
      </c>
      <c r="I282" s="632"/>
      <c r="J282" s="632"/>
      <c r="K282" s="632"/>
      <c r="L282" s="632">
        <f>CCBASE!$I$13*B282/1000</f>
        <v>299.42206874999999</v>
      </c>
      <c r="M282" s="632"/>
      <c r="N282" s="632">
        <f>CCBASE!$I$7*B282/1000</f>
        <v>39.427849999999999</v>
      </c>
      <c r="O282" s="632">
        <f>CCBASE!$I$45*B282/1000</f>
        <v>12.4625</v>
      </c>
      <c r="P282" s="632"/>
      <c r="Q282" s="632">
        <f>CCBASE!$H$51</f>
        <v>5.16</v>
      </c>
      <c r="R282" s="632">
        <f>CCBASE!$I$4</f>
        <v>8.3986041999999994</v>
      </c>
      <c r="S282" s="632">
        <f>CCBASE!$I$8</f>
        <v>16.25526</v>
      </c>
      <c r="T282" s="632">
        <f>CCBASE!$I$44</f>
        <v>94.69</v>
      </c>
      <c r="U282" s="632">
        <f>CCBASE!$I$47*2</f>
        <v>28.82</v>
      </c>
      <c r="V282" s="632">
        <f>CCBASE!$I$46/2</f>
        <v>1.22</v>
      </c>
      <c r="W282" s="632">
        <f>CCBASE!$I$40*B282/1000</f>
        <v>51.635049999999993</v>
      </c>
      <c r="X282" s="632"/>
      <c r="Y282" s="632"/>
      <c r="Z282" s="632"/>
      <c r="AA282" s="632"/>
      <c r="AB282" s="632"/>
      <c r="AC282" s="632"/>
      <c r="AD282" s="632">
        <f>CCBASE!$I$36*2</f>
        <v>191.630124</v>
      </c>
    </row>
    <row r="283" spans="1:30" x14ac:dyDescent="0.2">
      <c r="A283" s="630" t="s">
        <v>759</v>
      </c>
      <c r="B283" s="630">
        <v>1500</v>
      </c>
      <c r="C283" s="630">
        <v>1250</v>
      </c>
      <c r="D283" s="630" t="str">
        <f t="shared" si="90"/>
        <v>CMWF15001250</v>
      </c>
      <c r="E283" s="1046">
        <f t="shared" si="104"/>
        <v>1891.1867566499998</v>
      </c>
      <c r="F283" s="631">
        <v>24.5</v>
      </c>
      <c r="G283" s="632">
        <f>F283*CCBASE!$B$51</f>
        <v>882</v>
      </c>
      <c r="H283" s="632">
        <f>CCBASE!$I$12*B283/1000</f>
        <v>179.47580595000002</v>
      </c>
      <c r="I283" s="632"/>
      <c r="J283" s="632"/>
      <c r="K283" s="632"/>
      <c r="L283" s="632">
        <f>CCBASE!$I$13*B283/1000</f>
        <v>359.30648249999996</v>
      </c>
      <c r="M283" s="632"/>
      <c r="N283" s="632">
        <f>CCBASE!$I$7*B283/1000</f>
        <v>47.313420000000008</v>
      </c>
      <c r="O283" s="632">
        <f>CCBASE!$I$45*B283/1000</f>
        <v>14.955000000000002</v>
      </c>
      <c r="P283" s="632"/>
      <c r="Q283" s="632">
        <f>CCBASE!$H$51</f>
        <v>5.16</v>
      </c>
      <c r="R283" s="632">
        <f>CCBASE!$I$4</f>
        <v>8.3986041999999994</v>
      </c>
      <c r="S283" s="632">
        <f>CCBASE!$I$8</f>
        <v>16.25526</v>
      </c>
      <c r="T283" s="632">
        <f>CCBASE!$I$44</f>
        <v>94.69</v>
      </c>
      <c r="U283" s="632">
        <f>CCBASE!$I$47*2</f>
        <v>28.82</v>
      </c>
      <c r="V283" s="632">
        <f>CCBASE!$I$46/2</f>
        <v>1.22</v>
      </c>
      <c r="W283" s="632">
        <f>CCBASE!$I$40*B283/1000</f>
        <v>61.962060000000001</v>
      </c>
      <c r="X283" s="632"/>
      <c r="Y283" s="632"/>
      <c r="Z283" s="632"/>
      <c r="AA283" s="632"/>
      <c r="AB283" s="632"/>
      <c r="AC283" s="632"/>
      <c r="AD283" s="632">
        <f>CCBASE!$I$36*2</f>
        <v>191.630124</v>
      </c>
    </row>
    <row r="284" spans="1:30" x14ac:dyDescent="0.2">
      <c r="A284" s="630" t="s">
        <v>759</v>
      </c>
      <c r="B284" s="630">
        <v>1750</v>
      </c>
      <c r="C284" s="630">
        <v>1250</v>
      </c>
      <c r="D284" s="630" t="str">
        <f t="shared" ref="D284" si="112">A284&amp;B284&amp;C284</f>
        <v>CMWF17501250</v>
      </c>
      <c r="E284" s="1046">
        <f t="shared" si="104"/>
        <v>2002.908884725</v>
      </c>
      <c r="F284" s="631">
        <v>24.5</v>
      </c>
      <c r="G284" s="632">
        <f>F284*CCBASE!$B$51</f>
        <v>882</v>
      </c>
      <c r="H284" s="632">
        <f>CCBASE!$I$12*B284/1000</f>
        <v>209.38844027500002</v>
      </c>
      <c r="I284" s="632"/>
      <c r="J284" s="632"/>
      <c r="K284" s="632"/>
      <c r="L284" s="632">
        <f>CCBASE!$I$13*B284/1000</f>
        <v>419.19089624999998</v>
      </c>
      <c r="M284" s="632"/>
      <c r="N284" s="632">
        <f>CCBASE!$I$7*B284/1000</f>
        <v>55.198990000000002</v>
      </c>
      <c r="O284" s="632">
        <f>CCBASE!$I$45*B284/1000</f>
        <v>17.447500000000002</v>
      </c>
      <c r="P284" s="632"/>
      <c r="Q284" s="632">
        <f>CCBASE!$H$51</f>
        <v>5.16</v>
      </c>
      <c r="R284" s="632">
        <f>CCBASE!$I$4</f>
        <v>8.3986041999999994</v>
      </c>
      <c r="S284" s="632">
        <f>CCBASE!$I$8</f>
        <v>16.25526</v>
      </c>
      <c r="T284" s="632">
        <f>CCBASE!$I$44</f>
        <v>94.69</v>
      </c>
      <c r="U284" s="632">
        <f>CCBASE!$I$47*2</f>
        <v>28.82</v>
      </c>
      <c r="V284" s="632">
        <f>CCBASE!$I$46</f>
        <v>2.44</v>
      </c>
      <c r="W284" s="632">
        <f>CCBASE!$I$40*B284/1000</f>
        <v>72.289069999999995</v>
      </c>
      <c r="X284" s="632"/>
      <c r="Y284" s="632"/>
      <c r="Z284" s="632"/>
      <c r="AA284" s="632"/>
      <c r="AB284" s="632"/>
      <c r="AC284" s="632"/>
      <c r="AD284" s="632">
        <f>CCBASE!$I$36*2</f>
        <v>191.630124</v>
      </c>
    </row>
    <row r="285" spans="1:30" x14ac:dyDescent="0.2">
      <c r="A285" s="630" t="s">
        <v>759</v>
      </c>
      <c r="B285" s="630">
        <v>2000</v>
      </c>
      <c r="C285" s="630">
        <v>1250</v>
      </c>
      <c r="D285" s="630" t="str">
        <f t="shared" si="90"/>
        <v>CMWF20001250</v>
      </c>
      <c r="E285" s="1046">
        <f t="shared" si="104"/>
        <v>2113.4110127999998</v>
      </c>
      <c r="F285" s="631">
        <v>24.5</v>
      </c>
      <c r="G285" s="632">
        <f>F285*CCBASE!$B$51</f>
        <v>882</v>
      </c>
      <c r="H285" s="632">
        <f>CCBASE!$I$12*B285/1000</f>
        <v>239.30107460000002</v>
      </c>
      <c r="I285" s="632"/>
      <c r="J285" s="632"/>
      <c r="K285" s="632"/>
      <c r="L285" s="632">
        <f>CCBASE!$I$13*B285/1000</f>
        <v>479.07531</v>
      </c>
      <c r="M285" s="632"/>
      <c r="N285" s="632">
        <f>CCBASE!$I$7*B285/1000</f>
        <v>63.084560000000003</v>
      </c>
      <c r="O285" s="632">
        <f>CCBASE!$I$45*B285/1000</f>
        <v>19.940000000000001</v>
      </c>
      <c r="P285" s="632"/>
      <c r="Q285" s="632">
        <f>CCBASE!$H$51</f>
        <v>5.16</v>
      </c>
      <c r="R285" s="632">
        <f>CCBASE!$I$4</f>
        <v>8.3986041999999994</v>
      </c>
      <c r="S285" s="632">
        <f>CCBASE!$I$8</f>
        <v>16.25526</v>
      </c>
      <c r="T285" s="632">
        <f>CCBASE!$I$44</f>
        <v>94.69</v>
      </c>
      <c r="U285" s="632">
        <f>CCBASE!$I$47*2</f>
        <v>28.82</v>
      </c>
      <c r="V285" s="632">
        <f>CCBASE!$I$46</f>
        <v>2.44</v>
      </c>
      <c r="W285" s="632">
        <f>CCBASE!$I$40*B285/1000</f>
        <v>82.616079999999997</v>
      </c>
      <c r="X285" s="632"/>
      <c r="Y285" s="632"/>
      <c r="Z285" s="632"/>
      <c r="AA285" s="632"/>
      <c r="AB285" s="632"/>
      <c r="AC285" s="632"/>
      <c r="AD285" s="632">
        <f>CCBASE!$I$36*2</f>
        <v>191.630124</v>
      </c>
    </row>
    <row r="286" spans="1:30" x14ac:dyDescent="0.2">
      <c r="A286" s="630" t="s">
        <v>759</v>
      </c>
      <c r="B286" s="630">
        <v>2250</v>
      </c>
      <c r="C286" s="630">
        <v>1250</v>
      </c>
      <c r="D286" s="630" t="str">
        <f t="shared" ref="D286" si="113">A286&amp;B286&amp;C286</f>
        <v>CMWF22501250</v>
      </c>
      <c r="E286" s="1046">
        <f t="shared" si="104"/>
        <v>2223.9131408749995</v>
      </c>
      <c r="F286" s="631">
        <v>24.5</v>
      </c>
      <c r="G286" s="632">
        <f>F286*CCBASE!$B$51</f>
        <v>882</v>
      </c>
      <c r="H286" s="632">
        <f>CCBASE!$I$12*B286/1000</f>
        <v>269.21370892500005</v>
      </c>
      <c r="I286" s="632"/>
      <c r="J286" s="632"/>
      <c r="K286" s="632"/>
      <c r="L286" s="632">
        <f>CCBASE!$I$13*B286/1000</f>
        <v>538.95972374999997</v>
      </c>
      <c r="M286" s="632"/>
      <c r="N286" s="632">
        <f>CCBASE!$I$7*B286/1000</f>
        <v>70.970130000000012</v>
      </c>
      <c r="O286" s="632">
        <f>CCBASE!$I$45*B286/1000</f>
        <v>22.432500000000001</v>
      </c>
      <c r="P286" s="632"/>
      <c r="Q286" s="632">
        <f>CCBASE!$H$51</f>
        <v>5.16</v>
      </c>
      <c r="R286" s="632">
        <f>CCBASE!$I$4</f>
        <v>8.3986041999999994</v>
      </c>
      <c r="S286" s="632">
        <f>CCBASE!$I$8</f>
        <v>16.25526</v>
      </c>
      <c r="T286" s="632">
        <f>CCBASE!$I$44</f>
        <v>94.69</v>
      </c>
      <c r="U286" s="632">
        <f>CCBASE!$I$47*2</f>
        <v>28.82</v>
      </c>
      <c r="V286" s="632">
        <f>CCBASE!$I$46</f>
        <v>2.44</v>
      </c>
      <c r="W286" s="632">
        <f>CCBASE!$I$40*B286/1000</f>
        <v>92.943089999999998</v>
      </c>
      <c r="X286" s="632"/>
      <c r="Y286" s="632"/>
      <c r="Z286" s="632"/>
      <c r="AA286" s="632"/>
      <c r="AB286" s="632"/>
      <c r="AC286" s="632"/>
      <c r="AD286" s="632">
        <f>CCBASE!$I$36*2</f>
        <v>191.630124</v>
      </c>
    </row>
    <row r="287" spans="1:30" x14ac:dyDescent="0.2">
      <c r="A287" s="630" t="s">
        <v>759</v>
      </c>
      <c r="B287" s="630">
        <v>2500</v>
      </c>
      <c r="C287" s="630">
        <v>1250</v>
      </c>
      <c r="D287" s="630" t="str">
        <f t="shared" si="90"/>
        <v>CMWF25001250</v>
      </c>
      <c r="E287" s="1046">
        <f t="shared" si="104"/>
        <v>2370.4152689500002</v>
      </c>
      <c r="F287" s="631">
        <v>25.5</v>
      </c>
      <c r="G287" s="632">
        <f>F287*CCBASE!$B$51</f>
        <v>918</v>
      </c>
      <c r="H287" s="632">
        <f>CCBASE!$I$12*B287/1000</f>
        <v>299.12634325000005</v>
      </c>
      <c r="I287" s="632"/>
      <c r="J287" s="632"/>
      <c r="K287" s="632"/>
      <c r="L287" s="632">
        <f>CCBASE!$I$13*B287/1000</f>
        <v>598.84413749999999</v>
      </c>
      <c r="M287" s="632"/>
      <c r="N287" s="632">
        <f>CCBASE!$I$7*B287/1000</f>
        <v>78.855699999999999</v>
      </c>
      <c r="O287" s="632">
        <f>CCBASE!$I$45*B287/1000</f>
        <v>24.925000000000001</v>
      </c>
      <c r="P287" s="632"/>
      <c r="Q287" s="632">
        <f>CCBASE!$H$51</f>
        <v>5.16</v>
      </c>
      <c r="R287" s="632">
        <f>CCBASE!$I$4</f>
        <v>8.3986041999999994</v>
      </c>
      <c r="S287" s="632">
        <f>CCBASE!$I$8</f>
        <v>16.25526</v>
      </c>
      <c r="T287" s="632">
        <f>CCBASE!$I$44</f>
        <v>94.69</v>
      </c>
      <c r="U287" s="632">
        <f>CCBASE!$I$47*2</f>
        <v>28.82</v>
      </c>
      <c r="V287" s="632">
        <f>CCBASE!$I$46</f>
        <v>2.44</v>
      </c>
      <c r="W287" s="632">
        <f>CCBASE!$I$40*B287/1000</f>
        <v>103.27009999999999</v>
      </c>
      <c r="X287" s="632"/>
      <c r="Y287" s="632"/>
      <c r="Z287" s="632"/>
      <c r="AA287" s="632"/>
      <c r="AB287" s="632"/>
      <c r="AC287" s="632"/>
      <c r="AD287" s="632">
        <f>CCBASE!$I$36*2</f>
        <v>191.630124</v>
      </c>
    </row>
    <row r="288" spans="1:30" x14ac:dyDescent="0.2">
      <c r="A288" s="630" t="s">
        <v>759</v>
      </c>
      <c r="B288" s="630">
        <v>2750</v>
      </c>
      <c r="C288" s="630">
        <v>1250</v>
      </c>
      <c r="D288" s="630" t="str">
        <f t="shared" ref="D288" si="114">A288&amp;B288&amp;C288</f>
        <v>CMWF27501250</v>
      </c>
      <c r="E288" s="1046">
        <f t="shared" si="104"/>
        <v>2480.9173970250004</v>
      </c>
      <c r="F288" s="631">
        <v>25.5</v>
      </c>
      <c r="G288" s="632">
        <f>F288*CCBASE!$B$51</f>
        <v>918</v>
      </c>
      <c r="H288" s="632">
        <f>CCBASE!$I$12*B288/1000</f>
        <v>329.03897757500005</v>
      </c>
      <c r="I288" s="632"/>
      <c r="J288" s="632"/>
      <c r="K288" s="632"/>
      <c r="L288" s="632">
        <f>CCBASE!$I$13*B288/1000</f>
        <v>658.72855125000001</v>
      </c>
      <c r="M288" s="632"/>
      <c r="N288" s="632">
        <f>CCBASE!$I$7*B288/1000</f>
        <v>86.74127</v>
      </c>
      <c r="O288" s="632">
        <f>CCBASE!$I$45*B288/1000</f>
        <v>27.4175</v>
      </c>
      <c r="P288" s="632"/>
      <c r="Q288" s="632">
        <f>CCBASE!$H$51</f>
        <v>5.16</v>
      </c>
      <c r="R288" s="632">
        <f>CCBASE!$I$4</f>
        <v>8.3986041999999994</v>
      </c>
      <c r="S288" s="632">
        <f>CCBASE!$I$8</f>
        <v>16.25526</v>
      </c>
      <c r="T288" s="632">
        <f>CCBASE!$I$44</f>
        <v>94.69</v>
      </c>
      <c r="U288" s="632">
        <f>CCBASE!$I$47*2</f>
        <v>28.82</v>
      </c>
      <c r="V288" s="632">
        <f>CCBASE!$I$46</f>
        <v>2.44</v>
      </c>
      <c r="W288" s="632">
        <f>CCBASE!$I$40*B288/1000</f>
        <v>113.59711</v>
      </c>
      <c r="X288" s="632"/>
      <c r="Y288" s="632"/>
      <c r="Z288" s="632"/>
      <c r="AA288" s="632"/>
      <c r="AB288" s="632"/>
      <c r="AC288" s="632"/>
      <c r="AD288" s="632">
        <f>CCBASE!$I$36*2</f>
        <v>191.630124</v>
      </c>
    </row>
    <row r="289" spans="1:30" x14ac:dyDescent="0.2">
      <c r="A289" s="630" t="s">
        <v>759</v>
      </c>
      <c r="B289" s="630">
        <v>3000</v>
      </c>
      <c r="C289" s="630">
        <v>1250</v>
      </c>
      <c r="D289" s="630" t="str">
        <f t="shared" si="90"/>
        <v>CMWF30001250</v>
      </c>
      <c r="E289" s="1046">
        <f t="shared" si="104"/>
        <v>2591.4195250999996</v>
      </c>
      <c r="F289" s="631">
        <v>25.5</v>
      </c>
      <c r="G289" s="632">
        <f>F289*CCBASE!$B$51</f>
        <v>918</v>
      </c>
      <c r="H289" s="632">
        <f>CCBASE!$I$12*B289/1000</f>
        <v>358.95161190000005</v>
      </c>
      <c r="I289" s="632"/>
      <c r="J289" s="632"/>
      <c r="K289" s="632"/>
      <c r="L289" s="632">
        <f>CCBASE!$I$13*B289/1000</f>
        <v>718.61296499999992</v>
      </c>
      <c r="M289" s="632"/>
      <c r="N289" s="632">
        <f>CCBASE!$I$7*B289/1000</f>
        <v>94.626840000000016</v>
      </c>
      <c r="O289" s="632">
        <f>CCBASE!$I$45*B289/1000</f>
        <v>29.910000000000004</v>
      </c>
      <c r="P289" s="632"/>
      <c r="Q289" s="632">
        <f>CCBASE!$H$51</f>
        <v>5.16</v>
      </c>
      <c r="R289" s="632">
        <f>CCBASE!$I$4</f>
        <v>8.3986041999999994</v>
      </c>
      <c r="S289" s="632">
        <f>CCBASE!$I$8</f>
        <v>16.25526</v>
      </c>
      <c r="T289" s="632">
        <f>CCBASE!$I$44</f>
        <v>94.69</v>
      </c>
      <c r="U289" s="632">
        <f>CCBASE!$I$47*2</f>
        <v>28.82</v>
      </c>
      <c r="V289" s="632">
        <f>CCBASE!$I$46</f>
        <v>2.44</v>
      </c>
      <c r="W289" s="632">
        <f>CCBASE!$I$40*B289/1000</f>
        <v>123.92412</v>
      </c>
      <c r="X289" s="632"/>
      <c r="Y289" s="632"/>
      <c r="Z289" s="632"/>
      <c r="AA289" s="632"/>
      <c r="AB289" s="632"/>
      <c r="AC289" s="632"/>
      <c r="AD289" s="632">
        <f>CCBASE!$I$36*2</f>
        <v>191.630124</v>
      </c>
    </row>
    <row r="290" spans="1:30" x14ac:dyDescent="0.2">
      <c r="A290" s="630" t="s">
        <v>759</v>
      </c>
      <c r="B290" s="630">
        <v>1000</v>
      </c>
      <c r="C290" s="630">
        <v>1500</v>
      </c>
      <c r="D290" s="630" t="str">
        <f t="shared" si="90"/>
        <v>CMWF10001500</v>
      </c>
      <c r="E290" s="1046">
        <f t="shared" si="104"/>
        <v>1722.0150125</v>
      </c>
      <c r="F290" s="631">
        <v>24.5</v>
      </c>
      <c r="G290" s="632">
        <f>F290*CCBASE!$B$51</f>
        <v>882</v>
      </c>
      <c r="H290" s="632">
        <f>CCBASE!$I$12*B290/1000</f>
        <v>119.65053730000001</v>
      </c>
      <c r="I290" s="632"/>
      <c r="J290" s="632"/>
      <c r="K290" s="632"/>
      <c r="L290" s="632">
        <f>CCBASE!$I$13*B290/1000</f>
        <v>239.537655</v>
      </c>
      <c r="M290" s="632"/>
      <c r="N290" s="632">
        <f>CCBASE!$I$7*B290/1000</f>
        <v>31.542280000000002</v>
      </c>
      <c r="O290" s="632">
        <f>CCBASE!$I$45*B290/1000</f>
        <v>9.9700000000000006</v>
      </c>
      <c r="P290" s="632"/>
      <c r="Q290" s="632">
        <f>CCBASE!$H$51</f>
        <v>5.16</v>
      </c>
      <c r="R290" s="632">
        <f>CCBASE!$I$4</f>
        <v>8.3986041999999994</v>
      </c>
      <c r="S290" s="632">
        <f>CCBASE!$I$8</f>
        <v>16.25526</v>
      </c>
      <c r="T290" s="632">
        <f>CCBASE!$I$44</f>
        <v>94.69</v>
      </c>
      <c r="U290" s="632">
        <f>CCBASE!$I$47</f>
        <v>14.41</v>
      </c>
      <c r="V290" s="632">
        <f>CCBASE!$I$46/2</f>
        <v>1.22</v>
      </c>
      <c r="W290" s="632">
        <f>CCBASE!$I$41*B290/1000</f>
        <v>59.051569999999998</v>
      </c>
      <c r="X290" s="632"/>
      <c r="Y290" s="632"/>
      <c r="Z290" s="632"/>
      <c r="AA290" s="632"/>
      <c r="AB290" s="632"/>
      <c r="AC290" s="632"/>
      <c r="AD290" s="632">
        <f>CCBASE!$I$37*2</f>
        <v>240.12910599999998</v>
      </c>
    </row>
    <row r="291" spans="1:30" x14ac:dyDescent="0.2">
      <c r="A291" s="630" t="s">
        <v>759</v>
      </c>
      <c r="B291" s="630">
        <v>1250</v>
      </c>
      <c r="C291" s="630">
        <v>1500</v>
      </c>
      <c r="D291" s="630" t="str">
        <f t="shared" ref="D291" si="115">A291&amp;B291&amp;C291</f>
        <v>CMWF12501500</v>
      </c>
      <c r="E291" s="1046">
        <f t="shared" si="104"/>
        <v>1851.363023075</v>
      </c>
      <c r="F291" s="631">
        <v>24.5</v>
      </c>
      <c r="G291" s="632">
        <f>F291*CCBASE!$B$51</f>
        <v>882</v>
      </c>
      <c r="H291" s="632">
        <f>CCBASE!$I$12*B291/1000</f>
        <v>149.56317162500002</v>
      </c>
      <c r="I291" s="632"/>
      <c r="J291" s="632"/>
      <c r="K291" s="632"/>
      <c r="L291" s="632">
        <f>CCBASE!$I$13*B291/1000</f>
        <v>299.42206874999999</v>
      </c>
      <c r="M291" s="632"/>
      <c r="N291" s="632">
        <f>CCBASE!$I$7*B291/1000</f>
        <v>39.427849999999999</v>
      </c>
      <c r="O291" s="632">
        <f>CCBASE!$I$45*B291/1000</f>
        <v>12.4625</v>
      </c>
      <c r="P291" s="632"/>
      <c r="Q291" s="632">
        <f>CCBASE!$H$51</f>
        <v>5.16</v>
      </c>
      <c r="R291" s="632">
        <f>CCBASE!$I$4</f>
        <v>8.3986041999999994</v>
      </c>
      <c r="S291" s="632">
        <f>CCBASE!$I$8</f>
        <v>16.25526</v>
      </c>
      <c r="T291" s="632">
        <f>CCBASE!$I$44</f>
        <v>94.69</v>
      </c>
      <c r="U291" s="632">
        <f>CCBASE!$I$47*2</f>
        <v>28.82</v>
      </c>
      <c r="V291" s="632">
        <f>CCBASE!$I$46/2</f>
        <v>1.22</v>
      </c>
      <c r="W291" s="632">
        <f>CCBASE!$I$41*B291/1000</f>
        <v>73.814462499999991</v>
      </c>
      <c r="X291" s="632"/>
      <c r="Y291" s="632"/>
      <c r="Z291" s="632"/>
      <c r="AA291" s="632"/>
      <c r="AB291" s="632"/>
      <c r="AC291" s="632"/>
      <c r="AD291" s="632">
        <f>CCBASE!$I$37*2</f>
        <v>240.12910599999998</v>
      </c>
    </row>
    <row r="292" spans="1:30" x14ac:dyDescent="0.2">
      <c r="A292" s="630" t="s">
        <v>759</v>
      </c>
      <c r="B292" s="630">
        <v>1500</v>
      </c>
      <c r="C292" s="630">
        <v>1500</v>
      </c>
      <c r="D292" s="630" t="str">
        <f t="shared" si="90"/>
        <v>CMWF15001500</v>
      </c>
      <c r="E292" s="1046">
        <f t="shared" si="104"/>
        <v>1966.3010336499997</v>
      </c>
      <c r="F292" s="631">
        <v>24.5</v>
      </c>
      <c r="G292" s="632">
        <f>F292*CCBASE!$B$51</f>
        <v>882</v>
      </c>
      <c r="H292" s="632">
        <f>CCBASE!$I$12*B292/1000</f>
        <v>179.47580595000002</v>
      </c>
      <c r="I292" s="632"/>
      <c r="J292" s="632"/>
      <c r="K292" s="632"/>
      <c r="L292" s="632">
        <f>CCBASE!$I$13*B292/1000</f>
        <v>359.30648249999996</v>
      </c>
      <c r="M292" s="632"/>
      <c r="N292" s="632">
        <f>CCBASE!$I$7*B292/1000</f>
        <v>47.313420000000008</v>
      </c>
      <c r="O292" s="632">
        <f>CCBASE!$I$45*B292/1000</f>
        <v>14.955000000000002</v>
      </c>
      <c r="P292" s="632"/>
      <c r="Q292" s="632">
        <f>CCBASE!$H$51</f>
        <v>5.16</v>
      </c>
      <c r="R292" s="632">
        <f>CCBASE!$I$4</f>
        <v>8.3986041999999994</v>
      </c>
      <c r="S292" s="632">
        <f>CCBASE!$I$8</f>
        <v>16.25526</v>
      </c>
      <c r="T292" s="632">
        <f>CCBASE!$I$44</f>
        <v>94.69</v>
      </c>
      <c r="U292" s="632">
        <f>CCBASE!$I$47*2</f>
        <v>28.82</v>
      </c>
      <c r="V292" s="632">
        <f>CCBASE!$I$46/2</f>
        <v>1.22</v>
      </c>
      <c r="W292" s="632">
        <f>CCBASE!$I$41*B292/1000</f>
        <v>88.577354999999997</v>
      </c>
      <c r="X292" s="632"/>
      <c r="Y292" s="632"/>
      <c r="Z292" s="632"/>
      <c r="AA292" s="632"/>
      <c r="AB292" s="632"/>
      <c r="AC292" s="632"/>
      <c r="AD292" s="632">
        <f>CCBASE!$I$37*2</f>
        <v>240.12910599999998</v>
      </c>
    </row>
    <row r="293" spans="1:30" x14ac:dyDescent="0.2">
      <c r="A293" s="630" t="s">
        <v>759</v>
      </c>
      <c r="B293" s="630">
        <v>1750</v>
      </c>
      <c r="C293" s="630">
        <v>1500</v>
      </c>
      <c r="D293" s="630" t="str">
        <f t="shared" ref="D293" si="116">A293&amp;B293&amp;C293</f>
        <v>CMWF17501500</v>
      </c>
      <c r="E293" s="1046">
        <f t="shared" si="104"/>
        <v>2082.4590442250001</v>
      </c>
      <c r="F293" s="631">
        <v>24.5</v>
      </c>
      <c r="G293" s="632">
        <f>F293*CCBASE!$B$51</f>
        <v>882</v>
      </c>
      <c r="H293" s="632">
        <f>CCBASE!$I$12*B293/1000</f>
        <v>209.38844027500002</v>
      </c>
      <c r="I293" s="632"/>
      <c r="J293" s="632"/>
      <c r="K293" s="632"/>
      <c r="L293" s="632">
        <f>CCBASE!$I$13*B293/1000</f>
        <v>419.19089624999998</v>
      </c>
      <c r="M293" s="632"/>
      <c r="N293" s="632">
        <f>CCBASE!$I$7*B293/1000</f>
        <v>55.198990000000002</v>
      </c>
      <c r="O293" s="632">
        <f>CCBASE!$I$45*B293/1000</f>
        <v>17.447500000000002</v>
      </c>
      <c r="P293" s="632"/>
      <c r="Q293" s="632">
        <f>CCBASE!$H$51</f>
        <v>5.16</v>
      </c>
      <c r="R293" s="632">
        <f>CCBASE!$I$4</f>
        <v>8.3986041999999994</v>
      </c>
      <c r="S293" s="632">
        <f>CCBASE!$I$8</f>
        <v>16.25526</v>
      </c>
      <c r="T293" s="632">
        <f>CCBASE!$I$44</f>
        <v>94.69</v>
      </c>
      <c r="U293" s="632">
        <f>CCBASE!$I$47*2</f>
        <v>28.82</v>
      </c>
      <c r="V293" s="632">
        <f>CCBASE!$I$46</f>
        <v>2.44</v>
      </c>
      <c r="W293" s="632">
        <f>CCBASE!$I$41*B293/1000</f>
        <v>103.3402475</v>
      </c>
      <c r="X293" s="632"/>
      <c r="Y293" s="632"/>
      <c r="Z293" s="632"/>
      <c r="AA293" s="632"/>
      <c r="AB293" s="632"/>
      <c r="AC293" s="632"/>
      <c r="AD293" s="632">
        <f>CCBASE!$I$37*2</f>
        <v>240.12910599999998</v>
      </c>
    </row>
    <row r="294" spans="1:30" x14ac:dyDescent="0.2">
      <c r="A294" s="630" t="s">
        <v>759</v>
      </c>
      <c r="B294" s="630">
        <v>2000</v>
      </c>
      <c r="C294" s="630">
        <v>1500</v>
      </c>
      <c r="D294" s="630" t="str">
        <f t="shared" si="90"/>
        <v>CMWF20001500</v>
      </c>
      <c r="E294" s="1046">
        <f t="shared" si="104"/>
        <v>2197.3970547999998</v>
      </c>
      <c r="F294" s="631">
        <v>24.5</v>
      </c>
      <c r="G294" s="632">
        <f>F294*CCBASE!$B$51</f>
        <v>882</v>
      </c>
      <c r="H294" s="632">
        <f>CCBASE!$I$12*B294/1000</f>
        <v>239.30107460000002</v>
      </c>
      <c r="I294" s="632"/>
      <c r="J294" s="632"/>
      <c r="K294" s="632"/>
      <c r="L294" s="632">
        <f>CCBASE!$I$13*B294/1000</f>
        <v>479.07531</v>
      </c>
      <c r="M294" s="632"/>
      <c r="N294" s="632">
        <f>CCBASE!$I$7*B294/1000</f>
        <v>63.084560000000003</v>
      </c>
      <c r="O294" s="632">
        <f>CCBASE!$I$45*B294/1000</f>
        <v>19.940000000000001</v>
      </c>
      <c r="P294" s="632"/>
      <c r="Q294" s="632">
        <f>CCBASE!$H$51</f>
        <v>5.16</v>
      </c>
      <c r="R294" s="632">
        <f>CCBASE!$I$4</f>
        <v>8.3986041999999994</v>
      </c>
      <c r="S294" s="632">
        <f>CCBASE!$I$8</f>
        <v>16.25526</v>
      </c>
      <c r="T294" s="632">
        <f>CCBASE!$I$44</f>
        <v>94.69</v>
      </c>
      <c r="U294" s="632">
        <f>CCBASE!$I$47*2</f>
        <v>28.82</v>
      </c>
      <c r="V294" s="632">
        <f>CCBASE!$I$46</f>
        <v>2.44</v>
      </c>
      <c r="W294" s="632">
        <f>CCBASE!$I$41*B294/1000</f>
        <v>118.10314</v>
      </c>
      <c r="X294" s="632"/>
      <c r="Y294" s="632"/>
      <c r="Z294" s="632"/>
      <c r="AA294" s="632"/>
      <c r="AB294" s="632"/>
      <c r="AC294" s="632"/>
      <c r="AD294" s="632">
        <f>CCBASE!$I$37*2</f>
        <v>240.12910599999998</v>
      </c>
    </row>
    <row r="295" spans="1:30" x14ac:dyDescent="0.2">
      <c r="A295" s="630" t="s">
        <v>759</v>
      </c>
      <c r="B295" s="630">
        <v>2250</v>
      </c>
      <c r="C295" s="630">
        <v>1500</v>
      </c>
      <c r="D295" s="630" t="str">
        <f t="shared" ref="D295" si="117">A295&amp;B295&amp;C295</f>
        <v>CMWF22501500</v>
      </c>
      <c r="E295" s="1046">
        <f t="shared" si="104"/>
        <v>2348.3350653749994</v>
      </c>
      <c r="F295" s="631">
        <v>25.5</v>
      </c>
      <c r="G295" s="632">
        <f>F295*CCBASE!$B$51</f>
        <v>918</v>
      </c>
      <c r="H295" s="632">
        <f>CCBASE!$I$12*B295/1000</f>
        <v>269.21370892500005</v>
      </c>
      <c r="I295" s="632"/>
      <c r="J295" s="632"/>
      <c r="K295" s="632"/>
      <c r="L295" s="632">
        <f>CCBASE!$I$13*B295/1000</f>
        <v>538.95972374999997</v>
      </c>
      <c r="M295" s="632"/>
      <c r="N295" s="632">
        <f>CCBASE!$I$7*B295/1000</f>
        <v>70.970130000000012</v>
      </c>
      <c r="O295" s="632">
        <f>CCBASE!$I$45*B295/1000</f>
        <v>22.432500000000001</v>
      </c>
      <c r="P295" s="632"/>
      <c r="Q295" s="632">
        <f>CCBASE!$H$51</f>
        <v>5.16</v>
      </c>
      <c r="R295" s="632">
        <f>CCBASE!$I$4</f>
        <v>8.3986041999999994</v>
      </c>
      <c r="S295" s="632">
        <f>CCBASE!$I$8</f>
        <v>16.25526</v>
      </c>
      <c r="T295" s="632">
        <f>CCBASE!$I$44</f>
        <v>94.69</v>
      </c>
      <c r="U295" s="632">
        <f>CCBASE!$I$47*2</f>
        <v>28.82</v>
      </c>
      <c r="V295" s="632">
        <f>CCBASE!$I$46</f>
        <v>2.44</v>
      </c>
      <c r="W295" s="632">
        <f>CCBASE!$I$41*B295/1000</f>
        <v>132.86603249999999</v>
      </c>
      <c r="X295" s="632"/>
      <c r="Y295" s="632"/>
      <c r="Z295" s="632"/>
      <c r="AA295" s="632"/>
      <c r="AB295" s="632"/>
      <c r="AC295" s="632"/>
      <c r="AD295" s="632">
        <f>CCBASE!$I$37*2</f>
        <v>240.12910599999998</v>
      </c>
    </row>
    <row r="296" spans="1:30" x14ac:dyDescent="0.2">
      <c r="A296" s="630" t="s">
        <v>759</v>
      </c>
      <c r="B296" s="630">
        <v>2500</v>
      </c>
      <c r="C296" s="630">
        <v>1500</v>
      </c>
      <c r="D296" s="630" t="str">
        <f t="shared" si="90"/>
        <v>CMWF25001500</v>
      </c>
      <c r="E296" s="1046">
        <f t="shared" si="104"/>
        <v>2463.27307595</v>
      </c>
      <c r="F296" s="631">
        <v>25.5</v>
      </c>
      <c r="G296" s="632">
        <f>F296*CCBASE!$B$51</f>
        <v>918</v>
      </c>
      <c r="H296" s="632">
        <f>CCBASE!$I$12*B296/1000</f>
        <v>299.12634325000005</v>
      </c>
      <c r="I296" s="632"/>
      <c r="J296" s="632"/>
      <c r="K296" s="632"/>
      <c r="L296" s="632">
        <f>CCBASE!$I$13*B296/1000</f>
        <v>598.84413749999999</v>
      </c>
      <c r="M296" s="632"/>
      <c r="N296" s="632">
        <f>CCBASE!$I$7*B296/1000</f>
        <v>78.855699999999999</v>
      </c>
      <c r="O296" s="632">
        <f>CCBASE!$I$45*B296/1000</f>
        <v>24.925000000000001</v>
      </c>
      <c r="P296" s="632"/>
      <c r="Q296" s="632">
        <f>CCBASE!$H$51</f>
        <v>5.16</v>
      </c>
      <c r="R296" s="632">
        <f>CCBASE!$I$4</f>
        <v>8.3986041999999994</v>
      </c>
      <c r="S296" s="632">
        <f>CCBASE!$I$8</f>
        <v>16.25526</v>
      </c>
      <c r="T296" s="632">
        <f>CCBASE!$I$44</f>
        <v>94.69</v>
      </c>
      <c r="U296" s="632">
        <f>CCBASE!$I$47*2</f>
        <v>28.82</v>
      </c>
      <c r="V296" s="632">
        <f>CCBASE!$I$46</f>
        <v>2.44</v>
      </c>
      <c r="W296" s="632">
        <f>CCBASE!$I$41*B296/1000</f>
        <v>147.62892499999998</v>
      </c>
      <c r="X296" s="632"/>
      <c r="Y296" s="632"/>
      <c r="Z296" s="632"/>
      <c r="AA296" s="632"/>
      <c r="AB296" s="632"/>
      <c r="AC296" s="632"/>
      <c r="AD296" s="632">
        <f>CCBASE!$I$37*2</f>
        <v>240.12910599999998</v>
      </c>
    </row>
    <row r="297" spans="1:30" x14ac:dyDescent="0.2">
      <c r="A297" s="630" t="s">
        <v>759</v>
      </c>
      <c r="B297" s="630">
        <v>2750</v>
      </c>
      <c r="C297" s="630">
        <v>1500</v>
      </c>
      <c r="D297" s="630" t="str">
        <f t="shared" ref="D297" si="118">A297&amp;B297&amp;C297</f>
        <v>CMWF27501500</v>
      </c>
      <c r="E297" s="1046">
        <f t="shared" si="104"/>
        <v>2578.2110865250002</v>
      </c>
      <c r="F297" s="631">
        <v>25.5</v>
      </c>
      <c r="G297" s="632">
        <f>F297*CCBASE!$B$51</f>
        <v>918</v>
      </c>
      <c r="H297" s="632">
        <f>CCBASE!$I$12*B297/1000</f>
        <v>329.03897757500005</v>
      </c>
      <c r="I297" s="632"/>
      <c r="J297" s="632"/>
      <c r="K297" s="632"/>
      <c r="L297" s="632">
        <f>CCBASE!$I$13*B297/1000</f>
        <v>658.72855125000001</v>
      </c>
      <c r="M297" s="632"/>
      <c r="N297" s="632">
        <f>CCBASE!$I$7*B297/1000</f>
        <v>86.74127</v>
      </c>
      <c r="O297" s="632">
        <f>CCBASE!$I$45*B297/1000</f>
        <v>27.4175</v>
      </c>
      <c r="P297" s="632"/>
      <c r="Q297" s="632">
        <f>CCBASE!$H$51</f>
        <v>5.16</v>
      </c>
      <c r="R297" s="632">
        <f>CCBASE!$I$4</f>
        <v>8.3986041999999994</v>
      </c>
      <c r="S297" s="632">
        <f>CCBASE!$I$8</f>
        <v>16.25526</v>
      </c>
      <c r="T297" s="632">
        <f>CCBASE!$I$44</f>
        <v>94.69</v>
      </c>
      <c r="U297" s="632">
        <f>CCBASE!$I$47*2</f>
        <v>28.82</v>
      </c>
      <c r="V297" s="632">
        <f>CCBASE!$I$46</f>
        <v>2.44</v>
      </c>
      <c r="W297" s="632">
        <f>CCBASE!$I$41*B297/1000</f>
        <v>162.3918175</v>
      </c>
      <c r="X297" s="632"/>
      <c r="Y297" s="632"/>
      <c r="Z297" s="632"/>
      <c r="AA297" s="632"/>
      <c r="AB297" s="632"/>
      <c r="AC297" s="632"/>
      <c r="AD297" s="632">
        <f>CCBASE!$I$37*2</f>
        <v>240.12910599999998</v>
      </c>
    </row>
    <row r="298" spans="1:30" x14ac:dyDescent="0.2">
      <c r="A298" s="630" t="s">
        <v>759</v>
      </c>
      <c r="B298" s="630">
        <v>3000</v>
      </c>
      <c r="C298" s="630">
        <v>1500</v>
      </c>
      <c r="D298" s="630" t="str">
        <f t="shared" si="90"/>
        <v>CMWF30001500</v>
      </c>
      <c r="E298" s="1046">
        <f t="shared" si="104"/>
        <v>2693.1490970999994</v>
      </c>
      <c r="F298" s="631">
        <v>25.5</v>
      </c>
      <c r="G298" s="632">
        <f>F298*CCBASE!$B$51</f>
        <v>918</v>
      </c>
      <c r="H298" s="632">
        <f>CCBASE!$I$12*B298/1000</f>
        <v>358.95161190000005</v>
      </c>
      <c r="I298" s="632"/>
      <c r="J298" s="632"/>
      <c r="K298" s="632"/>
      <c r="L298" s="632">
        <f>CCBASE!$I$13*B298/1000</f>
        <v>718.61296499999992</v>
      </c>
      <c r="M298" s="632"/>
      <c r="N298" s="632">
        <f>CCBASE!$I$7*B298/1000</f>
        <v>94.626840000000016</v>
      </c>
      <c r="O298" s="632">
        <f>CCBASE!$I$45*B298/1000</f>
        <v>29.910000000000004</v>
      </c>
      <c r="P298" s="632"/>
      <c r="Q298" s="632">
        <f>CCBASE!$H$51</f>
        <v>5.16</v>
      </c>
      <c r="R298" s="632">
        <f>CCBASE!$I$4</f>
        <v>8.3986041999999994</v>
      </c>
      <c r="S298" s="632">
        <f>CCBASE!$I$8</f>
        <v>16.25526</v>
      </c>
      <c r="T298" s="632">
        <f>CCBASE!$I$44</f>
        <v>94.69</v>
      </c>
      <c r="U298" s="632">
        <f>CCBASE!$I$47*2</f>
        <v>28.82</v>
      </c>
      <c r="V298" s="632">
        <f>CCBASE!$I$46</f>
        <v>2.44</v>
      </c>
      <c r="W298" s="632">
        <f>CCBASE!$I$41*B298/1000</f>
        <v>177.15470999999999</v>
      </c>
      <c r="X298" s="632"/>
      <c r="Y298" s="632"/>
      <c r="Z298" s="632"/>
      <c r="AA298" s="632"/>
      <c r="AB298" s="632"/>
      <c r="AC298" s="632"/>
      <c r="AD298" s="632">
        <f>CCBASE!$I$37*2</f>
        <v>240.12910599999998</v>
      </c>
    </row>
    <row r="299" spans="1:30" x14ac:dyDescent="0.2">
      <c r="A299" s="630" t="s">
        <v>759</v>
      </c>
      <c r="B299" s="630">
        <v>1000</v>
      </c>
      <c r="C299" s="630">
        <v>1750</v>
      </c>
      <c r="D299" s="630" t="str">
        <f t="shared" si="90"/>
        <v>CMWF10001750</v>
      </c>
      <c r="E299" s="1046">
        <f t="shared" si="104"/>
        <v>1765.7823865</v>
      </c>
      <c r="F299" s="631">
        <v>24.5</v>
      </c>
      <c r="G299" s="632">
        <f>F299*CCBASE!$B$51</f>
        <v>882</v>
      </c>
      <c r="H299" s="632">
        <f>CCBASE!$I$12*B299/1000</f>
        <v>119.65053730000001</v>
      </c>
      <c r="I299" s="632"/>
      <c r="J299" s="632"/>
      <c r="K299" s="632"/>
      <c r="L299" s="632">
        <f>CCBASE!$I$13*B299/1000</f>
        <v>239.537655</v>
      </c>
      <c r="M299" s="632"/>
      <c r="N299" s="632">
        <f>CCBASE!$I$7*B299/1000</f>
        <v>31.542280000000002</v>
      </c>
      <c r="O299" s="632">
        <f>CCBASE!$I$45*B299/1000</f>
        <v>9.9700000000000006</v>
      </c>
      <c r="P299" s="632"/>
      <c r="Q299" s="632">
        <f>CCBASE!$H$51</f>
        <v>5.16</v>
      </c>
      <c r="R299" s="632">
        <f>CCBASE!$I$4</f>
        <v>8.3986041999999994</v>
      </c>
      <c r="S299" s="632">
        <f>CCBASE!$I$8</f>
        <v>16.25526</v>
      </c>
      <c r="T299" s="632">
        <f>CCBASE!$I$44</f>
        <v>94.69</v>
      </c>
      <c r="U299" s="632">
        <f>CCBASE!$I$47</f>
        <v>14.41</v>
      </c>
      <c r="V299" s="632">
        <f>CCBASE!$I$46/2</f>
        <v>1.22</v>
      </c>
      <c r="W299" s="632">
        <f>CCBASE!$I$42*B299/1000</f>
        <v>70.880589999999998</v>
      </c>
      <c r="X299" s="632"/>
      <c r="Y299" s="632"/>
      <c r="Z299" s="632"/>
      <c r="AA299" s="632"/>
      <c r="AB299" s="632"/>
      <c r="AC299" s="632"/>
      <c r="AD299" s="632">
        <f>CCBASE!$I$38*2</f>
        <v>272.06745999999998</v>
      </c>
    </row>
    <row r="300" spans="1:30" x14ac:dyDescent="0.2">
      <c r="A300" s="630" t="s">
        <v>759</v>
      </c>
      <c r="B300" s="630">
        <v>1250</v>
      </c>
      <c r="C300" s="630">
        <v>1750</v>
      </c>
      <c r="D300" s="630" t="str">
        <f t="shared" ref="D300" si="119">A300&amp;B300&amp;C300</f>
        <v>CMWF12501750</v>
      </c>
      <c r="E300" s="1046">
        <f t="shared" si="104"/>
        <v>1898.0876520750001</v>
      </c>
      <c r="F300" s="631">
        <v>24.5</v>
      </c>
      <c r="G300" s="632">
        <f>F300*CCBASE!$B$51</f>
        <v>882</v>
      </c>
      <c r="H300" s="632">
        <f>CCBASE!$I$12*B300/1000</f>
        <v>149.56317162500002</v>
      </c>
      <c r="I300" s="632"/>
      <c r="J300" s="632"/>
      <c r="K300" s="632"/>
      <c r="L300" s="632">
        <f>CCBASE!$I$13*B300/1000</f>
        <v>299.42206874999999</v>
      </c>
      <c r="M300" s="632"/>
      <c r="N300" s="632">
        <f>CCBASE!$I$7*B300/1000</f>
        <v>39.427849999999999</v>
      </c>
      <c r="O300" s="632">
        <f>CCBASE!$I$45*B300/1000</f>
        <v>12.4625</v>
      </c>
      <c r="P300" s="632"/>
      <c r="Q300" s="632">
        <f>CCBASE!$H$51</f>
        <v>5.16</v>
      </c>
      <c r="R300" s="632">
        <f>CCBASE!$I$4</f>
        <v>8.3986041999999994</v>
      </c>
      <c r="S300" s="632">
        <f>CCBASE!$I$8</f>
        <v>16.25526</v>
      </c>
      <c r="T300" s="632">
        <f>CCBASE!$I$44</f>
        <v>94.69</v>
      </c>
      <c r="U300" s="632">
        <f>CCBASE!$I$47*2</f>
        <v>28.82</v>
      </c>
      <c r="V300" s="632">
        <f>CCBASE!$I$46/2</f>
        <v>1.22</v>
      </c>
      <c r="W300" s="632">
        <f>CCBASE!$I$42*B300/1000</f>
        <v>88.600737500000008</v>
      </c>
      <c r="X300" s="632"/>
      <c r="Y300" s="632"/>
      <c r="Z300" s="632"/>
      <c r="AA300" s="632"/>
      <c r="AB300" s="632"/>
      <c r="AC300" s="632"/>
      <c r="AD300" s="632">
        <f>CCBASE!$I$38*2</f>
        <v>272.06745999999998</v>
      </c>
    </row>
    <row r="301" spans="1:30" x14ac:dyDescent="0.2">
      <c r="A301" s="630" t="s">
        <v>759</v>
      </c>
      <c r="B301" s="630">
        <v>1500</v>
      </c>
      <c r="C301" s="630">
        <v>1750</v>
      </c>
      <c r="D301" s="630" t="str">
        <f t="shared" si="90"/>
        <v>CMWF15001750</v>
      </c>
      <c r="E301" s="1046">
        <f t="shared" si="104"/>
        <v>2015.9829176499998</v>
      </c>
      <c r="F301" s="631">
        <v>24.5</v>
      </c>
      <c r="G301" s="632">
        <f>F301*CCBASE!$B$51</f>
        <v>882</v>
      </c>
      <c r="H301" s="632">
        <f>CCBASE!$I$12*B301/1000</f>
        <v>179.47580595000002</v>
      </c>
      <c r="I301" s="632"/>
      <c r="J301" s="632"/>
      <c r="K301" s="632"/>
      <c r="L301" s="632">
        <f>CCBASE!$I$13*B301/1000</f>
        <v>359.30648249999996</v>
      </c>
      <c r="M301" s="632"/>
      <c r="N301" s="632">
        <f>CCBASE!$I$7*B301/1000</f>
        <v>47.313420000000008</v>
      </c>
      <c r="O301" s="632">
        <f>CCBASE!$I$45*B301/1000</f>
        <v>14.955000000000002</v>
      </c>
      <c r="P301" s="632"/>
      <c r="Q301" s="632">
        <f>CCBASE!$H$51</f>
        <v>5.16</v>
      </c>
      <c r="R301" s="632">
        <f>CCBASE!$I$4</f>
        <v>8.3986041999999994</v>
      </c>
      <c r="S301" s="632">
        <f>CCBASE!$I$8</f>
        <v>16.25526</v>
      </c>
      <c r="T301" s="632">
        <f>CCBASE!$I$44</f>
        <v>94.69</v>
      </c>
      <c r="U301" s="632">
        <f>CCBASE!$I$47*2</f>
        <v>28.82</v>
      </c>
      <c r="V301" s="632">
        <f>CCBASE!$I$46/2</f>
        <v>1.22</v>
      </c>
      <c r="W301" s="632">
        <f>CCBASE!$I$42*B301/1000</f>
        <v>106.32088499999999</v>
      </c>
      <c r="X301" s="632"/>
      <c r="Y301" s="632"/>
      <c r="Z301" s="632"/>
      <c r="AA301" s="632"/>
      <c r="AB301" s="632"/>
      <c r="AC301" s="632"/>
      <c r="AD301" s="632">
        <f>CCBASE!$I$38*2</f>
        <v>272.06745999999998</v>
      </c>
    </row>
    <row r="302" spans="1:30" x14ac:dyDescent="0.2">
      <c r="A302" s="630" t="s">
        <v>759</v>
      </c>
      <c r="B302" s="630">
        <v>1750</v>
      </c>
      <c r="C302" s="630">
        <v>1750</v>
      </c>
      <c r="D302" s="630" t="str">
        <f t="shared" ref="D302" si="120">A302&amp;B302&amp;C302</f>
        <v>CMWF17501750</v>
      </c>
      <c r="E302" s="1046">
        <f t="shared" si="104"/>
        <v>2135.098183225</v>
      </c>
      <c r="F302" s="631">
        <v>24.5</v>
      </c>
      <c r="G302" s="632">
        <f>F302*CCBASE!$B$51</f>
        <v>882</v>
      </c>
      <c r="H302" s="632">
        <f>CCBASE!$I$12*B302/1000</f>
        <v>209.38844027500002</v>
      </c>
      <c r="I302" s="632"/>
      <c r="J302" s="632"/>
      <c r="K302" s="632"/>
      <c r="L302" s="632">
        <f>CCBASE!$I$13*B302/1000</f>
        <v>419.19089624999998</v>
      </c>
      <c r="M302" s="632"/>
      <c r="N302" s="632">
        <f>CCBASE!$I$7*B302/1000</f>
        <v>55.198990000000002</v>
      </c>
      <c r="O302" s="632">
        <f>CCBASE!$I$45*B302/1000</f>
        <v>17.447500000000002</v>
      </c>
      <c r="P302" s="632"/>
      <c r="Q302" s="632">
        <f>CCBASE!$H$51</f>
        <v>5.16</v>
      </c>
      <c r="R302" s="632">
        <f>CCBASE!$I$4</f>
        <v>8.3986041999999994</v>
      </c>
      <c r="S302" s="632">
        <f>CCBASE!$I$8</f>
        <v>16.25526</v>
      </c>
      <c r="T302" s="632">
        <f>CCBASE!$I$44</f>
        <v>94.69</v>
      </c>
      <c r="U302" s="632">
        <f>CCBASE!$I$47*2</f>
        <v>28.82</v>
      </c>
      <c r="V302" s="632">
        <f>CCBASE!$I$46</f>
        <v>2.44</v>
      </c>
      <c r="W302" s="632">
        <f>CCBASE!$I$42*B302/1000</f>
        <v>124.0410325</v>
      </c>
      <c r="X302" s="632"/>
      <c r="Y302" s="632"/>
      <c r="Z302" s="632"/>
      <c r="AA302" s="632"/>
      <c r="AB302" s="632"/>
      <c r="AC302" s="632"/>
      <c r="AD302" s="632">
        <f>CCBASE!$I$38*2</f>
        <v>272.06745999999998</v>
      </c>
    </row>
    <row r="303" spans="1:30" x14ac:dyDescent="0.2">
      <c r="A303" s="630" t="s">
        <v>759</v>
      </c>
      <c r="B303" s="630">
        <v>2000</v>
      </c>
      <c r="C303" s="630">
        <v>1750</v>
      </c>
      <c r="D303" s="630" t="str">
        <f t="shared" si="90"/>
        <v>CMWF20001750</v>
      </c>
      <c r="E303" s="1046">
        <f t="shared" si="104"/>
        <v>2252.9934487999999</v>
      </c>
      <c r="F303" s="631">
        <v>24.5</v>
      </c>
      <c r="G303" s="632">
        <f>F303*CCBASE!$B$51</f>
        <v>882</v>
      </c>
      <c r="H303" s="632">
        <f>CCBASE!$I$12*B303/1000</f>
        <v>239.30107460000002</v>
      </c>
      <c r="I303" s="632"/>
      <c r="J303" s="632"/>
      <c r="K303" s="632"/>
      <c r="L303" s="632">
        <f>CCBASE!$I$13*B303/1000</f>
        <v>479.07531</v>
      </c>
      <c r="M303" s="632"/>
      <c r="N303" s="632">
        <f>CCBASE!$I$7*B303/1000</f>
        <v>63.084560000000003</v>
      </c>
      <c r="O303" s="632">
        <f>CCBASE!$I$45*B303/1000</f>
        <v>19.940000000000001</v>
      </c>
      <c r="P303" s="632"/>
      <c r="Q303" s="632">
        <f>CCBASE!$H$51</f>
        <v>5.16</v>
      </c>
      <c r="R303" s="632">
        <f>CCBASE!$I$4</f>
        <v>8.3986041999999994</v>
      </c>
      <c r="S303" s="632">
        <f>CCBASE!$I$8</f>
        <v>16.25526</v>
      </c>
      <c r="T303" s="632">
        <f>CCBASE!$I$44</f>
        <v>94.69</v>
      </c>
      <c r="U303" s="632">
        <f>CCBASE!$I$47*2</f>
        <v>28.82</v>
      </c>
      <c r="V303" s="632">
        <f>CCBASE!$I$46</f>
        <v>2.44</v>
      </c>
      <c r="W303" s="632">
        <f>CCBASE!$I$42*B303/1000</f>
        <v>141.76118</v>
      </c>
      <c r="X303" s="632"/>
      <c r="Y303" s="632"/>
      <c r="Z303" s="632"/>
      <c r="AA303" s="632"/>
      <c r="AB303" s="632"/>
      <c r="AC303" s="632"/>
      <c r="AD303" s="632">
        <f>CCBASE!$I$38*2</f>
        <v>272.06745999999998</v>
      </c>
    </row>
    <row r="304" spans="1:30" x14ac:dyDescent="0.2">
      <c r="A304" s="630" t="s">
        <v>759</v>
      </c>
      <c r="B304" s="630">
        <v>2250</v>
      </c>
      <c r="C304" s="630">
        <v>1750</v>
      </c>
      <c r="D304" s="630" t="str">
        <f t="shared" ref="D304" si="121">A304&amp;B304&amp;C304</f>
        <v>CMWF22501750</v>
      </c>
      <c r="E304" s="1046">
        <f t="shared" si="104"/>
        <v>2406.8887143749998</v>
      </c>
      <c r="F304" s="631">
        <v>25.5</v>
      </c>
      <c r="G304" s="632">
        <f>F304*CCBASE!$B$51</f>
        <v>918</v>
      </c>
      <c r="H304" s="632">
        <f>CCBASE!$I$12*B304/1000</f>
        <v>269.21370892500005</v>
      </c>
      <c r="I304" s="632"/>
      <c r="J304" s="632"/>
      <c r="K304" s="632"/>
      <c r="L304" s="632">
        <f>CCBASE!$I$13*B304/1000</f>
        <v>538.95972374999997</v>
      </c>
      <c r="M304" s="632"/>
      <c r="N304" s="632">
        <f>CCBASE!$I$7*B304/1000</f>
        <v>70.970130000000012</v>
      </c>
      <c r="O304" s="632">
        <f>CCBASE!$I$45*B304/1000</f>
        <v>22.432500000000001</v>
      </c>
      <c r="P304" s="632"/>
      <c r="Q304" s="632">
        <f>CCBASE!$H$51</f>
        <v>5.16</v>
      </c>
      <c r="R304" s="632">
        <f>CCBASE!$I$4</f>
        <v>8.3986041999999994</v>
      </c>
      <c r="S304" s="632">
        <f>CCBASE!$I$8</f>
        <v>16.25526</v>
      </c>
      <c r="T304" s="632">
        <f>CCBASE!$I$44</f>
        <v>94.69</v>
      </c>
      <c r="U304" s="632">
        <f>CCBASE!$I$47*2</f>
        <v>28.82</v>
      </c>
      <c r="V304" s="632">
        <f>CCBASE!$I$46</f>
        <v>2.44</v>
      </c>
      <c r="W304" s="632">
        <f>CCBASE!$I$42*B304/1000</f>
        <v>159.48132749999999</v>
      </c>
      <c r="X304" s="632"/>
      <c r="Y304" s="632"/>
      <c r="Z304" s="632"/>
      <c r="AA304" s="632"/>
      <c r="AB304" s="632"/>
      <c r="AC304" s="632"/>
      <c r="AD304" s="632">
        <f>CCBASE!$I$38*2</f>
        <v>272.06745999999998</v>
      </c>
    </row>
    <row r="305" spans="1:30" x14ac:dyDescent="0.2">
      <c r="A305" s="630" t="s">
        <v>759</v>
      </c>
      <c r="B305" s="630">
        <v>2500</v>
      </c>
      <c r="C305" s="630">
        <v>1750</v>
      </c>
      <c r="D305" s="630" t="str">
        <f t="shared" si="90"/>
        <v>CMWF25001750</v>
      </c>
      <c r="E305" s="1046">
        <f t="shared" si="104"/>
        <v>2524.7839799499998</v>
      </c>
      <c r="F305" s="631">
        <v>25.5</v>
      </c>
      <c r="G305" s="632">
        <f>F305*CCBASE!$B$51</f>
        <v>918</v>
      </c>
      <c r="H305" s="632">
        <f>CCBASE!$I$12*B305/1000</f>
        <v>299.12634325000005</v>
      </c>
      <c r="I305" s="632"/>
      <c r="J305" s="632"/>
      <c r="K305" s="632"/>
      <c r="L305" s="632">
        <f>CCBASE!$I$13*B305/1000</f>
        <v>598.84413749999999</v>
      </c>
      <c r="M305" s="632"/>
      <c r="N305" s="632">
        <f>CCBASE!$I$7*B305/1000</f>
        <v>78.855699999999999</v>
      </c>
      <c r="O305" s="632">
        <f>CCBASE!$I$45*B305/1000</f>
        <v>24.925000000000001</v>
      </c>
      <c r="P305" s="632"/>
      <c r="Q305" s="632">
        <f>CCBASE!$H$51</f>
        <v>5.16</v>
      </c>
      <c r="R305" s="632">
        <f>CCBASE!$I$4</f>
        <v>8.3986041999999994</v>
      </c>
      <c r="S305" s="632">
        <f>CCBASE!$I$8</f>
        <v>16.25526</v>
      </c>
      <c r="T305" s="632">
        <f>CCBASE!$I$44</f>
        <v>94.69</v>
      </c>
      <c r="U305" s="632">
        <f>CCBASE!$I$47*2</f>
        <v>28.82</v>
      </c>
      <c r="V305" s="632">
        <f>CCBASE!$I$46</f>
        <v>2.44</v>
      </c>
      <c r="W305" s="632">
        <f>CCBASE!$I$42*B305/1000</f>
        <v>177.20147500000002</v>
      </c>
      <c r="X305" s="632"/>
      <c r="Y305" s="632"/>
      <c r="Z305" s="632"/>
      <c r="AA305" s="632"/>
      <c r="AB305" s="632"/>
      <c r="AC305" s="632"/>
      <c r="AD305" s="632">
        <f>CCBASE!$I$38*2</f>
        <v>272.06745999999998</v>
      </c>
    </row>
    <row r="306" spans="1:30" x14ac:dyDescent="0.2">
      <c r="A306" s="630" t="s">
        <v>759</v>
      </c>
      <c r="B306" s="630">
        <v>2750</v>
      </c>
      <c r="C306" s="630">
        <v>1750</v>
      </c>
      <c r="D306" s="630" t="str">
        <f t="shared" ref="D306" si="122">A306&amp;B306&amp;C306</f>
        <v>CMWF27501750</v>
      </c>
      <c r="E306" s="1046">
        <f t="shared" si="104"/>
        <v>2642.6792455250006</v>
      </c>
      <c r="F306" s="631">
        <v>25.5</v>
      </c>
      <c r="G306" s="632">
        <f>F306*CCBASE!$B$51</f>
        <v>918</v>
      </c>
      <c r="H306" s="632">
        <f>CCBASE!$I$12*B306/1000</f>
        <v>329.03897757500005</v>
      </c>
      <c r="I306" s="632"/>
      <c r="J306" s="632"/>
      <c r="K306" s="632"/>
      <c r="L306" s="632">
        <f>CCBASE!$I$13*B306/1000</f>
        <v>658.72855125000001</v>
      </c>
      <c r="M306" s="632"/>
      <c r="N306" s="632">
        <f>CCBASE!$I$7*B306/1000</f>
        <v>86.74127</v>
      </c>
      <c r="O306" s="632">
        <f>CCBASE!$I$45*B306/1000</f>
        <v>27.4175</v>
      </c>
      <c r="P306" s="632"/>
      <c r="Q306" s="632">
        <f>CCBASE!$H$51</f>
        <v>5.16</v>
      </c>
      <c r="R306" s="632">
        <f>CCBASE!$I$4</f>
        <v>8.3986041999999994</v>
      </c>
      <c r="S306" s="632">
        <f>CCBASE!$I$8</f>
        <v>16.25526</v>
      </c>
      <c r="T306" s="632">
        <f>CCBASE!$I$44</f>
        <v>94.69</v>
      </c>
      <c r="U306" s="632">
        <f>CCBASE!$I$47*2</f>
        <v>28.82</v>
      </c>
      <c r="V306" s="632">
        <f>CCBASE!$I$46</f>
        <v>2.44</v>
      </c>
      <c r="W306" s="632">
        <f>CCBASE!$I$42*B306/1000</f>
        <v>194.92162249999998</v>
      </c>
      <c r="X306" s="632"/>
      <c r="Y306" s="632"/>
      <c r="Z306" s="632"/>
      <c r="AA306" s="632"/>
      <c r="AB306" s="632"/>
      <c r="AC306" s="632"/>
      <c r="AD306" s="632">
        <f>CCBASE!$I$38*2</f>
        <v>272.06745999999998</v>
      </c>
    </row>
    <row r="307" spans="1:30" x14ac:dyDescent="0.2">
      <c r="A307" s="630" t="s">
        <v>759</v>
      </c>
      <c r="B307" s="630">
        <v>3000</v>
      </c>
      <c r="C307" s="630">
        <v>1750</v>
      </c>
      <c r="D307" s="630" t="str">
        <f t="shared" si="90"/>
        <v>CMWF30001750</v>
      </c>
      <c r="E307" s="1046">
        <f t="shared" si="104"/>
        <v>2760.5745110999997</v>
      </c>
      <c r="F307" s="631">
        <v>25.5</v>
      </c>
      <c r="G307" s="632">
        <f>F307*CCBASE!$B$51</f>
        <v>918</v>
      </c>
      <c r="H307" s="632">
        <f>CCBASE!$I$12*B307/1000</f>
        <v>358.95161190000005</v>
      </c>
      <c r="I307" s="632"/>
      <c r="J307" s="632"/>
      <c r="K307" s="632"/>
      <c r="L307" s="632">
        <f>CCBASE!$I$13*B307/1000</f>
        <v>718.61296499999992</v>
      </c>
      <c r="M307" s="632"/>
      <c r="N307" s="632">
        <f>CCBASE!$I$7*B307/1000</f>
        <v>94.626840000000016</v>
      </c>
      <c r="O307" s="632">
        <f>CCBASE!$I$45*B307/1000</f>
        <v>29.910000000000004</v>
      </c>
      <c r="P307" s="632"/>
      <c r="Q307" s="632">
        <f>CCBASE!$H$51</f>
        <v>5.16</v>
      </c>
      <c r="R307" s="632">
        <f>CCBASE!$I$4</f>
        <v>8.3986041999999994</v>
      </c>
      <c r="S307" s="632">
        <f>CCBASE!$I$8</f>
        <v>16.25526</v>
      </c>
      <c r="T307" s="632">
        <f>CCBASE!$I$44</f>
        <v>94.69</v>
      </c>
      <c r="U307" s="632">
        <f>CCBASE!$I$47*2</f>
        <v>28.82</v>
      </c>
      <c r="V307" s="632">
        <f>CCBASE!$I$46</f>
        <v>2.44</v>
      </c>
      <c r="W307" s="632">
        <f>CCBASE!$I$42*B307/1000</f>
        <v>212.64176999999998</v>
      </c>
      <c r="X307" s="632"/>
      <c r="Y307" s="632"/>
      <c r="Z307" s="632"/>
      <c r="AA307" s="632"/>
      <c r="AB307" s="632"/>
      <c r="AC307" s="632"/>
      <c r="AD307" s="632">
        <f>CCBASE!$I$38*2</f>
        <v>272.06745999999998</v>
      </c>
    </row>
    <row r="308" spans="1:30" x14ac:dyDescent="0.2">
      <c r="A308" s="630" t="s">
        <v>759</v>
      </c>
      <c r="B308" s="630">
        <v>1000</v>
      </c>
      <c r="C308" s="630">
        <v>2000</v>
      </c>
      <c r="D308" s="630" t="str">
        <f t="shared" ref="D308:D316" si="123">A308&amp;B308&amp;C308</f>
        <v>CMWF10002000</v>
      </c>
      <c r="E308" s="1046">
        <f>SUM(G308:AD308)</f>
        <v>1783.5259165</v>
      </c>
      <c r="F308" s="631">
        <v>24.5</v>
      </c>
      <c r="G308" s="632">
        <f>F308*CCBASE!$B$51</f>
        <v>882</v>
      </c>
      <c r="H308" s="632">
        <f>CCBASE!$I$12*B308/1000</f>
        <v>119.65053730000001</v>
      </c>
      <c r="I308" s="632"/>
      <c r="J308" s="632"/>
      <c r="K308" s="632"/>
      <c r="L308" s="632">
        <f>CCBASE!$I$13*B308/1000</f>
        <v>239.537655</v>
      </c>
      <c r="M308" s="632"/>
      <c r="N308" s="632">
        <f>CCBASE!$I$7*B308/1000</f>
        <v>31.542280000000002</v>
      </c>
      <c r="O308" s="632">
        <f>CCBASE!$I$45*B308/1000</f>
        <v>9.9700000000000006</v>
      </c>
      <c r="P308" s="632"/>
      <c r="Q308" s="632">
        <f>CCBASE!$H$51</f>
        <v>5.16</v>
      </c>
      <c r="R308" s="632">
        <f>CCBASE!$I$4</f>
        <v>8.3986041999999994</v>
      </c>
      <c r="S308" s="632">
        <f>CCBASE!$I$8</f>
        <v>16.25526</v>
      </c>
      <c r="T308" s="632">
        <f>CCBASE!$I$44</f>
        <v>94.69</v>
      </c>
      <c r="U308" s="632">
        <f>CCBASE!$I$47</f>
        <v>14.41</v>
      </c>
      <c r="V308" s="632">
        <f>CCBASE!$I$46/2</f>
        <v>1.22</v>
      </c>
      <c r="W308" s="632">
        <f>CCBASE!$I$43*B308/1000</f>
        <v>88.624119999999991</v>
      </c>
      <c r="X308" s="632"/>
      <c r="Y308" s="632"/>
      <c r="Z308" s="632"/>
      <c r="AA308" s="632"/>
      <c r="AB308" s="632"/>
      <c r="AC308" s="632"/>
      <c r="AD308" s="632">
        <f>CCBASE!$I$38*2</f>
        <v>272.06745999999998</v>
      </c>
    </row>
    <row r="309" spans="1:30" x14ac:dyDescent="0.2">
      <c r="A309" s="630" t="s">
        <v>759</v>
      </c>
      <c r="B309" s="630">
        <v>1250</v>
      </c>
      <c r="C309" s="630">
        <v>2000</v>
      </c>
      <c r="D309" s="630" t="str">
        <f t="shared" si="123"/>
        <v>CMWF12502000</v>
      </c>
      <c r="E309" s="1046">
        <f t="shared" ref="E309:E316" si="124">SUM(G309:AD309)</f>
        <v>1920.2670645750002</v>
      </c>
      <c r="F309" s="631">
        <v>24.5</v>
      </c>
      <c r="G309" s="632">
        <f>F309*CCBASE!$B$51</f>
        <v>882</v>
      </c>
      <c r="H309" s="632">
        <f>CCBASE!$I$12*B309/1000</f>
        <v>149.56317162500002</v>
      </c>
      <c r="I309" s="632"/>
      <c r="J309" s="632"/>
      <c r="K309" s="632"/>
      <c r="L309" s="632">
        <f>CCBASE!$I$13*B309/1000</f>
        <v>299.42206874999999</v>
      </c>
      <c r="M309" s="632"/>
      <c r="N309" s="632">
        <f>CCBASE!$I$7*B309/1000</f>
        <v>39.427849999999999</v>
      </c>
      <c r="O309" s="632">
        <f>CCBASE!$I$45*B309/1000</f>
        <v>12.4625</v>
      </c>
      <c r="P309" s="632"/>
      <c r="Q309" s="632">
        <f>CCBASE!$H$51</f>
        <v>5.16</v>
      </c>
      <c r="R309" s="632">
        <f>CCBASE!$I$4</f>
        <v>8.3986041999999994</v>
      </c>
      <c r="S309" s="632">
        <f>CCBASE!$I$8</f>
        <v>16.25526</v>
      </c>
      <c r="T309" s="632">
        <f>CCBASE!$I$44</f>
        <v>94.69</v>
      </c>
      <c r="U309" s="632">
        <f>CCBASE!$I$47*2</f>
        <v>28.82</v>
      </c>
      <c r="V309" s="632">
        <f>CCBASE!$I$46/2</f>
        <v>1.22</v>
      </c>
      <c r="W309" s="632">
        <f>CCBASE!$I$43*B309/1000</f>
        <v>110.78014999999999</v>
      </c>
      <c r="X309" s="632"/>
      <c r="Y309" s="632"/>
      <c r="Z309" s="632"/>
      <c r="AA309" s="632"/>
      <c r="AB309" s="632"/>
      <c r="AC309" s="632"/>
      <c r="AD309" s="632">
        <f>CCBASE!$I$38*2</f>
        <v>272.06745999999998</v>
      </c>
    </row>
    <row r="310" spans="1:30" x14ac:dyDescent="0.2">
      <c r="A310" s="630" t="s">
        <v>759</v>
      </c>
      <c r="B310" s="630">
        <v>1500</v>
      </c>
      <c r="C310" s="630">
        <v>2000</v>
      </c>
      <c r="D310" s="630" t="str">
        <f t="shared" si="123"/>
        <v>CMWF15002000</v>
      </c>
      <c r="E310" s="1046">
        <f t="shared" si="124"/>
        <v>2042.5982126499996</v>
      </c>
      <c r="F310" s="631">
        <v>24.5</v>
      </c>
      <c r="G310" s="632">
        <f>F310*CCBASE!$B$51</f>
        <v>882</v>
      </c>
      <c r="H310" s="632">
        <f>CCBASE!$I$12*B310/1000</f>
        <v>179.47580595000002</v>
      </c>
      <c r="I310" s="632"/>
      <c r="J310" s="632"/>
      <c r="K310" s="632"/>
      <c r="L310" s="632">
        <f>CCBASE!$I$13*B310/1000</f>
        <v>359.30648249999996</v>
      </c>
      <c r="M310" s="632"/>
      <c r="N310" s="632">
        <f>CCBASE!$I$7*B310/1000</f>
        <v>47.313420000000008</v>
      </c>
      <c r="O310" s="632">
        <f>CCBASE!$I$45*B310/1000</f>
        <v>14.955000000000002</v>
      </c>
      <c r="P310" s="632"/>
      <c r="Q310" s="632">
        <f>CCBASE!$H$51</f>
        <v>5.16</v>
      </c>
      <c r="R310" s="632">
        <f>CCBASE!$I$4</f>
        <v>8.3986041999999994</v>
      </c>
      <c r="S310" s="632">
        <f>CCBASE!$I$8</f>
        <v>16.25526</v>
      </c>
      <c r="T310" s="632">
        <f>CCBASE!$I$44</f>
        <v>94.69</v>
      </c>
      <c r="U310" s="632">
        <f>CCBASE!$I$47*2</f>
        <v>28.82</v>
      </c>
      <c r="V310" s="632">
        <f>CCBASE!$I$46/2</f>
        <v>1.22</v>
      </c>
      <c r="W310" s="632">
        <f>CCBASE!$I$43*B310/1000</f>
        <v>132.93617999999998</v>
      </c>
      <c r="X310" s="632"/>
      <c r="Y310" s="632"/>
      <c r="Z310" s="632"/>
      <c r="AA310" s="632"/>
      <c r="AB310" s="632"/>
      <c r="AC310" s="632"/>
      <c r="AD310" s="632">
        <f>CCBASE!$I$38*2</f>
        <v>272.06745999999998</v>
      </c>
    </row>
    <row r="311" spans="1:30" x14ac:dyDescent="0.2">
      <c r="A311" s="630" t="s">
        <v>759</v>
      </c>
      <c r="B311" s="630">
        <v>1750</v>
      </c>
      <c r="C311" s="630">
        <v>2000</v>
      </c>
      <c r="D311" s="630" t="str">
        <f t="shared" si="123"/>
        <v>CMWF17502000</v>
      </c>
      <c r="E311" s="1046">
        <f t="shared" si="124"/>
        <v>2166.149360725</v>
      </c>
      <c r="F311" s="631">
        <v>24.5</v>
      </c>
      <c r="G311" s="632">
        <f>F311*CCBASE!$B$51</f>
        <v>882</v>
      </c>
      <c r="H311" s="632">
        <f>CCBASE!$I$12*B311/1000</f>
        <v>209.38844027500002</v>
      </c>
      <c r="I311" s="632"/>
      <c r="J311" s="632"/>
      <c r="K311" s="632"/>
      <c r="L311" s="632">
        <f>CCBASE!$I$13*B311/1000</f>
        <v>419.19089624999998</v>
      </c>
      <c r="M311" s="632"/>
      <c r="N311" s="632">
        <f>CCBASE!$I$7*B311/1000</f>
        <v>55.198990000000002</v>
      </c>
      <c r="O311" s="632">
        <f>CCBASE!$I$45*B311/1000</f>
        <v>17.447500000000002</v>
      </c>
      <c r="P311" s="632"/>
      <c r="Q311" s="632">
        <f>CCBASE!$H$51</f>
        <v>5.16</v>
      </c>
      <c r="R311" s="632">
        <f>CCBASE!$I$4</f>
        <v>8.3986041999999994</v>
      </c>
      <c r="S311" s="632">
        <f>CCBASE!$I$8</f>
        <v>16.25526</v>
      </c>
      <c r="T311" s="632">
        <f>CCBASE!$I$44</f>
        <v>94.69</v>
      </c>
      <c r="U311" s="632">
        <f>CCBASE!$I$47*2</f>
        <v>28.82</v>
      </c>
      <c r="V311" s="632">
        <f>CCBASE!$I$46</f>
        <v>2.44</v>
      </c>
      <c r="W311" s="632">
        <f>CCBASE!$I$43*B311/1000</f>
        <v>155.09220999999999</v>
      </c>
      <c r="X311" s="632"/>
      <c r="Y311" s="632"/>
      <c r="Z311" s="632"/>
      <c r="AA311" s="632"/>
      <c r="AB311" s="632"/>
      <c r="AC311" s="632"/>
      <c r="AD311" s="632">
        <f>CCBASE!$I$38*2</f>
        <v>272.06745999999998</v>
      </c>
    </row>
    <row r="312" spans="1:30" x14ac:dyDescent="0.2">
      <c r="A312" s="630" t="s">
        <v>759</v>
      </c>
      <c r="B312" s="630">
        <v>2000</v>
      </c>
      <c r="C312" s="630">
        <v>2000</v>
      </c>
      <c r="D312" s="630" t="str">
        <f t="shared" si="123"/>
        <v>CMWF20002000</v>
      </c>
      <c r="E312" s="1046">
        <f t="shared" si="124"/>
        <v>2288.4805087999998</v>
      </c>
      <c r="F312" s="631">
        <v>24.5</v>
      </c>
      <c r="G312" s="632">
        <f>F312*CCBASE!$B$51</f>
        <v>882</v>
      </c>
      <c r="H312" s="632">
        <f>CCBASE!$I$12*B312/1000</f>
        <v>239.30107460000002</v>
      </c>
      <c r="I312" s="632"/>
      <c r="J312" s="632"/>
      <c r="K312" s="632"/>
      <c r="L312" s="632">
        <f>CCBASE!$I$13*B312/1000</f>
        <v>479.07531</v>
      </c>
      <c r="M312" s="632"/>
      <c r="N312" s="632">
        <f>CCBASE!$I$7*B312/1000</f>
        <v>63.084560000000003</v>
      </c>
      <c r="O312" s="632">
        <f>CCBASE!$I$45*B312/1000</f>
        <v>19.940000000000001</v>
      </c>
      <c r="P312" s="632"/>
      <c r="Q312" s="632">
        <f>CCBASE!$H$51</f>
        <v>5.16</v>
      </c>
      <c r="R312" s="632">
        <f>CCBASE!$I$4</f>
        <v>8.3986041999999994</v>
      </c>
      <c r="S312" s="632">
        <f>CCBASE!$I$8</f>
        <v>16.25526</v>
      </c>
      <c r="T312" s="632">
        <f>CCBASE!$I$44</f>
        <v>94.69</v>
      </c>
      <c r="U312" s="632">
        <f>CCBASE!$I$47*2</f>
        <v>28.82</v>
      </c>
      <c r="V312" s="632">
        <f>CCBASE!$I$46</f>
        <v>2.44</v>
      </c>
      <c r="W312" s="632">
        <f>CCBASE!$I$43*B312/1000</f>
        <v>177.24823999999998</v>
      </c>
      <c r="X312" s="632"/>
      <c r="Y312" s="632"/>
      <c r="Z312" s="632"/>
      <c r="AA312" s="632"/>
      <c r="AB312" s="632"/>
      <c r="AC312" s="632"/>
      <c r="AD312" s="632">
        <f>CCBASE!$I$38*2</f>
        <v>272.06745999999998</v>
      </c>
    </row>
    <row r="313" spans="1:30" x14ac:dyDescent="0.2">
      <c r="A313" s="630" t="s">
        <v>759</v>
      </c>
      <c r="B313" s="630">
        <v>2250</v>
      </c>
      <c r="C313" s="630">
        <v>2000</v>
      </c>
      <c r="D313" s="630" t="str">
        <f t="shared" si="123"/>
        <v>CMWF22502000</v>
      </c>
      <c r="E313" s="1046">
        <f t="shared" si="124"/>
        <v>2446.8116568750002</v>
      </c>
      <c r="F313" s="631">
        <v>25.5</v>
      </c>
      <c r="G313" s="632">
        <f>F313*CCBASE!$B$51</f>
        <v>918</v>
      </c>
      <c r="H313" s="632">
        <f>CCBASE!$I$12*B313/1000</f>
        <v>269.21370892500005</v>
      </c>
      <c r="I313" s="632"/>
      <c r="J313" s="632"/>
      <c r="K313" s="632"/>
      <c r="L313" s="632">
        <f>CCBASE!$I$13*B313/1000</f>
        <v>538.95972374999997</v>
      </c>
      <c r="M313" s="632"/>
      <c r="N313" s="632">
        <f>CCBASE!$I$7*B313/1000</f>
        <v>70.970130000000012</v>
      </c>
      <c r="O313" s="632">
        <f>CCBASE!$I$45*B313/1000</f>
        <v>22.432500000000001</v>
      </c>
      <c r="P313" s="632"/>
      <c r="Q313" s="632">
        <f>CCBASE!$H$51</f>
        <v>5.16</v>
      </c>
      <c r="R313" s="632">
        <f>CCBASE!$I$4</f>
        <v>8.3986041999999994</v>
      </c>
      <c r="S313" s="632">
        <f>CCBASE!$I$8</f>
        <v>16.25526</v>
      </c>
      <c r="T313" s="632">
        <f>CCBASE!$I$44</f>
        <v>94.69</v>
      </c>
      <c r="U313" s="632">
        <f>CCBASE!$I$47*2</f>
        <v>28.82</v>
      </c>
      <c r="V313" s="632">
        <f>CCBASE!$I$46</f>
        <v>2.44</v>
      </c>
      <c r="W313" s="632">
        <f>CCBASE!$I$43*B313/1000</f>
        <v>199.40427</v>
      </c>
      <c r="X313" s="632"/>
      <c r="Y313" s="632"/>
      <c r="Z313" s="632"/>
      <c r="AA313" s="632"/>
      <c r="AB313" s="632"/>
      <c r="AC313" s="632"/>
      <c r="AD313" s="632">
        <f>CCBASE!$I$38*2</f>
        <v>272.06745999999998</v>
      </c>
    </row>
    <row r="314" spans="1:30" x14ac:dyDescent="0.2">
      <c r="A314" s="630" t="s">
        <v>759</v>
      </c>
      <c r="B314" s="630">
        <v>2500</v>
      </c>
      <c r="C314" s="630">
        <v>2000</v>
      </c>
      <c r="D314" s="630" t="str">
        <f t="shared" si="123"/>
        <v>CMWF25002000</v>
      </c>
      <c r="E314" s="1046">
        <f t="shared" si="124"/>
        <v>2569.14280495</v>
      </c>
      <c r="F314" s="631">
        <v>25.5</v>
      </c>
      <c r="G314" s="632">
        <f>F314*CCBASE!$B$51</f>
        <v>918</v>
      </c>
      <c r="H314" s="632">
        <f>CCBASE!$I$12*B314/1000</f>
        <v>299.12634325000005</v>
      </c>
      <c r="I314" s="632"/>
      <c r="J314" s="632"/>
      <c r="K314" s="632"/>
      <c r="L314" s="632">
        <f>CCBASE!$I$13*B314/1000</f>
        <v>598.84413749999999</v>
      </c>
      <c r="M314" s="632"/>
      <c r="N314" s="632">
        <f>CCBASE!$I$7*B314/1000</f>
        <v>78.855699999999999</v>
      </c>
      <c r="O314" s="632">
        <f>CCBASE!$I$45*B314/1000</f>
        <v>24.925000000000001</v>
      </c>
      <c r="P314" s="632"/>
      <c r="Q314" s="632">
        <f>CCBASE!$H$51</f>
        <v>5.16</v>
      </c>
      <c r="R314" s="632">
        <f>CCBASE!$I$4</f>
        <v>8.3986041999999994</v>
      </c>
      <c r="S314" s="632">
        <f>CCBASE!$I$8</f>
        <v>16.25526</v>
      </c>
      <c r="T314" s="632">
        <f>CCBASE!$I$44</f>
        <v>94.69</v>
      </c>
      <c r="U314" s="632">
        <f>CCBASE!$I$47*2</f>
        <v>28.82</v>
      </c>
      <c r="V314" s="632">
        <f>CCBASE!$I$46</f>
        <v>2.44</v>
      </c>
      <c r="W314" s="632">
        <f>CCBASE!$I$43*B314/1000</f>
        <v>221.56029999999998</v>
      </c>
      <c r="X314" s="632"/>
      <c r="Y314" s="632"/>
      <c r="Z314" s="632"/>
      <c r="AA314" s="632"/>
      <c r="AB314" s="632"/>
      <c r="AC314" s="632"/>
      <c r="AD314" s="632">
        <f>CCBASE!$I$38*2</f>
        <v>272.06745999999998</v>
      </c>
    </row>
    <row r="315" spans="1:30" x14ac:dyDescent="0.2">
      <c r="A315" s="630" t="s">
        <v>759</v>
      </c>
      <c r="B315" s="630">
        <v>2750</v>
      </c>
      <c r="C315" s="630">
        <v>2000</v>
      </c>
      <c r="D315" s="630" t="str">
        <f t="shared" si="123"/>
        <v>CMWF27502000</v>
      </c>
      <c r="E315" s="1046">
        <f t="shared" si="124"/>
        <v>2691.4739530250008</v>
      </c>
      <c r="F315" s="631">
        <v>25.5</v>
      </c>
      <c r="G315" s="632">
        <f>F315*CCBASE!$B$51</f>
        <v>918</v>
      </c>
      <c r="H315" s="632">
        <f>CCBASE!$I$12*B315/1000</f>
        <v>329.03897757500005</v>
      </c>
      <c r="I315" s="632"/>
      <c r="J315" s="632"/>
      <c r="K315" s="632"/>
      <c r="L315" s="632">
        <f>CCBASE!$I$13*B315/1000</f>
        <v>658.72855125000001</v>
      </c>
      <c r="M315" s="632"/>
      <c r="N315" s="632">
        <f>CCBASE!$I$7*B315/1000</f>
        <v>86.74127</v>
      </c>
      <c r="O315" s="632">
        <f>CCBASE!$I$45*B315/1000</f>
        <v>27.4175</v>
      </c>
      <c r="P315" s="632"/>
      <c r="Q315" s="632">
        <f>CCBASE!$H$51</f>
        <v>5.16</v>
      </c>
      <c r="R315" s="632">
        <f>CCBASE!$I$4</f>
        <v>8.3986041999999994</v>
      </c>
      <c r="S315" s="632">
        <f>CCBASE!$I$8</f>
        <v>16.25526</v>
      </c>
      <c r="T315" s="632">
        <f>CCBASE!$I$44</f>
        <v>94.69</v>
      </c>
      <c r="U315" s="632">
        <f>CCBASE!$I$47*2</f>
        <v>28.82</v>
      </c>
      <c r="V315" s="632">
        <f>CCBASE!$I$46</f>
        <v>2.44</v>
      </c>
      <c r="W315" s="632">
        <f>CCBASE!$I$43*B315/1000</f>
        <v>243.71633</v>
      </c>
      <c r="X315" s="632"/>
      <c r="Y315" s="632"/>
      <c r="Z315" s="632"/>
      <c r="AA315" s="632"/>
      <c r="AB315" s="632"/>
      <c r="AC315" s="632"/>
      <c r="AD315" s="632">
        <f>CCBASE!$I$38*2</f>
        <v>272.06745999999998</v>
      </c>
    </row>
    <row r="316" spans="1:30" x14ac:dyDescent="0.2">
      <c r="A316" s="630" t="s">
        <v>759</v>
      </c>
      <c r="B316" s="630">
        <v>3000</v>
      </c>
      <c r="C316" s="630">
        <v>2000</v>
      </c>
      <c r="D316" s="630" t="str">
        <f t="shared" si="123"/>
        <v>CMWF30002000</v>
      </c>
      <c r="E316" s="1046">
        <f t="shared" si="124"/>
        <v>2813.8051010999998</v>
      </c>
      <c r="F316" s="631">
        <v>25.5</v>
      </c>
      <c r="G316" s="632">
        <f>F316*CCBASE!$B$51</f>
        <v>918</v>
      </c>
      <c r="H316" s="632">
        <f>CCBASE!$I$12*B316/1000</f>
        <v>358.95161190000005</v>
      </c>
      <c r="I316" s="632"/>
      <c r="J316" s="632"/>
      <c r="K316" s="632"/>
      <c r="L316" s="632">
        <f>CCBASE!$I$13*B316/1000</f>
        <v>718.61296499999992</v>
      </c>
      <c r="M316" s="632"/>
      <c r="N316" s="632">
        <f>CCBASE!$I$7*B316/1000</f>
        <v>94.626840000000016</v>
      </c>
      <c r="O316" s="632">
        <f>CCBASE!$I$45*B316/1000</f>
        <v>29.910000000000004</v>
      </c>
      <c r="P316" s="632"/>
      <c r="Q316" s="632">
        <f>CCBASE!$H$51</f>
        <v>5.16</v>
      </c>
      <c r="R316" s="632">
        <f>CCBASE!$I$4</f>
        <v>8.3986041999999994</v>
      </c>
      <c r="S316" s="632">
        <f>CCBASE!$I$8</f>
        <v>16.25526</v>
      </c>
      <c r="T316" s="632">
        <f>CCBASE!$I$44</f>
        <v>94.69</v>
      </c>
      <c r="U316" s="632">
        <f>CCBASE!$I$47*2</f>
        <v>28.82</v>
      </c>
      <c r="V316" s="632">
        <f>CCBASE!$I$46</f>
        <v>2.44</v>
      </c>
      <c r="W316" s="632">
        <f>CCBASE!$I$43*B316/1000</f>
        <v>265.87235999999996</v>
      </c>
      <c r="X316" s="632"/>
      <c r="Y316" s="632"/>
      <c r="Z316" s="632"/>
      <c r="AA316" s="632"/>
      <c r="AB316" s="632"/>
      <c r="AC316" s="632"/>
      <c r="AD316" s="632">
        <f>CCBASE!$I$38*2</f>
        <v>272.06745999999998</v>
      </c>
    </row>
    <row r="317" spans="1:30" x14ac:dyDescent="0.2">
      <c r="A317" s="630" t="s">
        <v>760</v>
      </c>
      <c r="B317" s="630">
        <v>1000</v>
      </c>
      <c r="C317" s="630">
        <v>1000</v>
      </c>
      <c r="D317" s="630" t="str">
        <f t="shared" ref="D317:D361" si="125">A317&amp;B317&amp;C317</f>
        <v>CMWI10001000</v>
      </c>
      <c r="E317" s="1046">
        <f t="shared" si="104"/>
        <v>1416.4362194999999</v>
      </c>
      <c r="F317" s="631">
        <v>20</v>
      </c>
      <c r="G317" s="632">
        <f>F317*CCBASE!$B$51</f>
        <v>720</v>
      </c>
      <c r="H317" s="632">
        <f>CCBASE!$I$12*B317/1000</f>
        <v>119.65053730000001</v>
      </c>
      <c r="I317" s="632"/>
      <c r="J317" s="632"/>
      <c r="K317" s="632"/>
      <c r="L317" s="632">
        <f>CCBASE!$I$14*B317/1000</f>
        <v>209.37365399999999</v>
      </c>
      <c r="M317" s="632"/>
      <c r="N317" s="632"/>
      <c r="O317" s="632">
        <f>CCBASE!$I$45*B317/1000</f>
        <v>9.9700000000000006</v>
      </c>
      <c r="P317" s="632"/>
      <c r="Q317" s="632">
        <f>CCBASE!$H$51</f>
        <v>5.16</v>
      </c>
      <c r="R317" s="632">
        <f>CCBASE!$I$4</f>
        <v>8.3986041999999994</v>
      </c>
      <c r="S317" s="632">
        <f>CCBASE!$I$8</f>
        <v>16.25526</v>
      </c>
      <c r="T317" s="632">
        <f>CCBASE!$I$44</f>
        <v>94.69</v>
      </c>
      <c r="U317" s="632"/>
      <c r="V317" s="632"/>
      <c r="W317" s="632">
        <f>CCBASE!$I$40*B317/1000</f>
        <v>41.308039999999998</v>
      </c>
      <c r="X317" s="632"/>
      <c r="Y317" s="632"/>
      <c r="Z317" s="632"/>
      <c r="AA317" s="632"/>
      <c r="AB317" s="632"/>
      <c r="AC317" s="632"/>
      <c r="AD317" s="632">
        <f>CCBASE!$I$36*2</f>
        <v>191.630124</v>
      </c>
    </row>
    <row r="318" spans="1:30" x14ac:dyDescent="0.2">
      <c r="A318" s="630" t="s">
        <v>760</v>
      </c>
      <c r="B318" s="630">
        <v>1250</v>
      </c>
      <c r="C318" s="630">
        <v>1000</v>
      </c>
      <c r="D318" s="630" t="str">
        <f t="shared" ref="D318" si="126">A318&amp;B318&amp;C318</f>
        <v>CMWI12501000</v>
      </c>
      <c r="E318" s="1046">
        <f t="shared" si="104"/>
        <v>1511.5117773250001</v>
      </c>
      <c r="F318" s="631">
        <v>20</v>
      </c>
      <c r="G318" s="632">
        <f>F318*CCBASE!$B$51</f>
        <v>720</v>
      </c>
      <c r="H318" s="632">
        <f>CCBASE!$I$12*B318/1000</f>
        <v>149.56317162500002</v>
      </c>
      <c r="I318" s="632"/>
      <c r="J318" s="632"/>
      <c r="K318" s="632"/>
      <c r="L318" s="632">
        <f>CCBASE!$I$14*B318/1000</f>
        <v>261.71706749999998</v>
      </c>
      <c r="M318" s="632"/>
      <c r="N318" s="632"/>
      <c r="O318" s="632">
        <f>CCBASE!$I$45*B318/1000</f>
        <v>12.4625</v>
      </c>
      <c r="P318" s="632"/>
      <c r="Q318" s="632">
        <f>CCBASE!$H$51</f>
        <v>5.16</v>
      </c>
      <c r="R318" s="632">
        <f>CCBASE!$I$4</f>
        <v>8.3986041999999994</v>
      </c>
      <c r="S318" s="632">
        <f>CCBASE!$I$8</f>
        <v>16.25526</v>
      </c>
      <c r="T318" s="632">
        <f>CCBASE!$I$44</f>
        <v>94.69</v>
      </c>
      <c r="U318" s="632"/>
      <c r="V318" s="632"/>
      <c r="W318" s="632">
        <f>CCBASE!$I$40*B318/1000</f>
        <v>51.635049999999993</v>
      </c>
      <c r="X318" s="632"/>
      <c r="Y318" s="632"/>
      <c r="Z318" s="632"/>
      <c r="AA318" s="632"/>
      <c r="AB318" s="632"/>
      <c r="AC318" s="632"/>
      <c r="AD318" s="632">
        <f>CCBASE!$I$36*2</f>
        <v>191.630124</v>
      </c>
    </row>
    <row r="319" spans="1:30" x14ac:dyDescent="0.2">
      <c r="A319" s="630" t="s">
        <v>760</v>
      </c>
      <c r="B319" s="630">
        <v>1500</v>
      </c>
      <c r="C319" s="630">
        <v>1000</v>
      </c>
      <c r="D319" s="630" t="str">
        <f t="shared" si="125"/>
        <v>CMWI15001000</v>
      </c>
      <c r="E319" s="1046">
        <f t="shared" si="104"/>
        <v>1606.5873351499999</v>
      </c>
      <c r="F319" s="631">
        <v>20</v>
      </c>
      <c r="G319" s="632">
        <f>F319*CCBASE!$B$51</f>
        <v>720</v>
      </c>
      <c r="H319" s="632">
        <f>CCBASE!$I$12*B319/1000</f>
        <v>179.47580595000002</v>
      </c>
      <c r="I319" s="632"/>
      <c r="J319" s="632"/>
      <c r="K319" s="632"/>
      <c r="L319" s="632">
        <f>CCBASE!$I$14*B319/1000</f>
        <v>314.06048099999998</v>
      </c>
      <c r="M319" s="632"/>
      <c r="N319" s="632"/>
      <c r="O319" s="632">
        <f>CCBASE!$I$45*B319/1000</f>
        <v>14.955000000000002</v>
      </c>
      <c r="P319" s="632"/>
      <c r="Q319" s="632">
        <f>CCBASE!$H$51</f>
        <v>5.16</v>
      </c>
      <c r="R319" s="632">
        <f>CCBASE!$I$4</f>
        <v>8.3986041999999994</v>
      </c>
      <c r="S319" s="632">
        <f>CCBASE!$I$8</f>
        <v>16.25526</v>
      </c>
      <c r="T319" s="632">
        <f>CCBASE!$I$44</f>
        <v>94.69</v>
      </c>
      <c r="U319" s="632"/>
      <c r="V319" s="632"/>
      <c r="W319" s="632">
        <f>CCBASE!$I$40*B319/1000</f>
        <v>61.962060000000001</v>
      </c>
      <c r="X319" s="632"/>
      <c r="Y319" s="632"/>
      <c r="Z319" s="632"/>
      <c r="AA319" s="632"/>
      <c r="AB319" s="632"/>
      <c r="AC319" s="632"/>
      <c r="AD319" s="632">
        <f>CCBASE!$I$36*2</f>
        <v>191.630124</v>
      </c>
    </row>
    <row r="320" spans="1:30" x14ac:dyDescent="0.2">
      <c r="A320" s="630" t="s">
        <v>760</v>
      </c>
      <c r="B320" s="630">
        <v>1750</v>
      </c>
      <c r="C320" s="630">
        <v>1000</v>
      </c>
      <c r="D320" s="630" t="str">
        <f t="shared" ref="D320" si="127">A320&amp;B320&amp;C320</f>
        <v>CMWI17501000</v>
      </c>
      <c r="E320" s="1046">
        <f t="shared" si="104"/>
        <v>1701.662892975</v>
      </c>
      <c r="F320" s="631">
        <v>20</v>
      </c>
      <c r="G320" s="632">
        <f>F320*CCBASE!$B$51</f>
        <v>720</v>
      </c>
      <c r="H320" s="632">
        <f>CCBASE!$I$12*B320/1000</f>
        <v>209.38844027500002</v>
      </c>
      <c r="I320" s="632"/>
      <c r="J320" s="632"/>
      <c r="K320" s="632"/>
      <c r="L320" s="632">
        <f>CCBASE!$I$14*B320/1000</f>
        <v>366.40389449999998</v>
      </c>
      <c r="M320" s="632"/>
      <c r="N320" s="632"/>
      <c r="O320" s="632">
        <f>CCBASE!$I$45*B320/1000</f>
        <v>17.447500000000002</v>
      </c>
      <c r="P320" s="632"/>
      <c r="Q320" s="632">
        <f>CCBASE!$H$51</f>
        <v>5.16</v>
      </c>
      <c r="R320" s="632">
        <f>CCBASE!$I$4</f>
        <v>8.3986041999999994</v>
      </c>
      <c r="S320" s="632">
        <f>CCBASE!$I$8</f>
        <v>16.25526</v>
      </c>
      <c r="T320" s="632">
        <f>CCBASE!$I$44</f>
        <v>94.69</v>
      </c>
      <c r="U320" s="632"/>
      <c r="V320" s="632"/>
      <c r="W320" s="632">
        <f>CCBASE!$I$40*B320/1000</f>
        <v>72.289069999999995</v>
      </c>
      <c r="X320" s="632"/>
      <c r="Y320" s="632"/>
      <c r="Z320" s="632"/>
      <c r="AA320" s="632"/>
      <c r="AB320" s="632"/>
      <c r="AC320" s="632"/>
      <c r="AD320" s="632">
        <f>CCBASE!$I$36*2</f>
        <v>191.630124</v>
      </c>
    </row>
    <row r="321" spans="1:30" x14ac:dyDescent="0.2">
      <c r="A321" s="630" t="s">
        <v>760</v>
      </c>
      <c r="B321" s="630">
        <v>2000</v>
      </c>
      <c r="C321" s="630">
        <v>1000</v>
      </c>
      <c r="D321" s="630" t="str">
        <f t="shared" si="125"/>
        <v>CMWI20001000</v>
      </c>
      <c r="E321" s="1046">
        <f t="shared" si="104"/>
        <v>1796.7384508</v>
      </c>
      <c r="F321" s="631">
        <v>20</v>
      </c>
      <c r="G321" s="632">
        <f>F321*CCBASE!$B$51</f>
        <v>720</v>
      </c>
      <c r="H321" s="632">
        <f>CCBASE!$I$12*B321/1000</f>
        <v>239.30107460000002</v>
      </c>
      <c r="I321" s="632"/>
      <c r="J321" s="632"/>
      <c r="K321" s="632"/>
      <c r="L321" s="632">
        <f>CCBASE!$I$14*B321/1000</f>
        <v>418.74730799999998</v>
      </c>
      <c r="M321" s="632"/>
      <c r="N321" s="632"/>
      <c r="O321" s="632">
        <f>CCBASE!$I$45*B321/1000</f>
        <v>19.940000000000001</v>
      </c>
      <c r="P321" s="632"/>
      <c r="Q321" s="632">
        <f>CCBASE!$H$51</f>
        <v>5.16</v>
      </c>
      <c r="R321" s="632">
        <f>CCBASE!$I$4</f>
        <v>8.3986041999999994</v>
      </c>
      <c r="S321" s="632">
        <f>CCBASE!$I$8</f>
        <v>16.25526</v>
      </c>
      <c r="T321" s="632">
        <f>CCBASE!$I$44</f>
        <v>94.69</v>
      </c>
      <c r="U321" s="632"/>
      <c r="V321" s="632"/>
      <c r="W321" s="632">
        <f>CCBASE!$I$40*B321/1000</f>
        <v>82.616079999999997</v>
      </c>
      <c r="X321" s="632"/>
      <c r="Y321" s="632"/>
      <c r="Z321" s="632"/>
      <c r="AA321" s="632"/>
      <c r="AB321" s="632"/>
      <c r="AC321" s="632"/>
      <c r="AD321" s="632">
        <f>CCBASE!$I$36*2</f>
        <v>191.630124</v>
      </c>
    </row>
    <row r="322" spans="1:30" x14ac:dyDescent="0.2">
      <c r="A322" s="630" t="s">
        <v>760</v>
      </c>
      <c r="B322" s="630">
        <v>2250</v>
      </c>
      <c r="C322" s="630">
        <v>1000</v>
      </c>
      <c r="D322" s="630" t="str">
        <f t="shared" ref="D322" si="128">A322&amp;B322&amp;C322</f>
        <v>CMWI22501000</v>
      </c>
      <c r="E322" s="1046">
        <f t="shared" si="104"/>
        <v>1927.8140086249998</v>
      </c>
      <c r="F322" s="631">
        <v>21</v>
      </c>
      <c r="G322" s="632">
        <f>F322*CCBASE!$B$51</f>
        <v>756</v>
      </c>
      <c r="H322" s="632">
        <f>CCBASE!$I$12*B322/1000</f>
        <v>269.21370892500005</v>
      </c>
      <c r="I322" s="632"/>
      <c r="J322" s="632"/>
      <c r="K322" s="632"/>
      <c r="L322" s="632">
        <f>CCBASE!$I$14*B322/1000</f>
        <v>471.09072149999997</v>
      </c>
      <c r="M322" s="632"/>
      <c r="N322" s="632"/>
      <c r="O322" s="632">
        <f>CCBASE!$I$45*B322/1000</f>
        <v>22.432500000000001</v>
      </c>
      <c r="P322" s="632"/>
      <c r="Q322" s="632">
        <f>CCBASE!$H$51</f>
        <v>5.16</v>
      </c>
      <c r="R322" s="632">
        <f>CCBASE!$I$4</f>
        <v>8.3986041999999994</v>
      </c>
      <c r="S322" s="632">
        <f>CCBASE!$I$8</f>
        <v>16.25526</v>
      </c>
      <c r="T322" s="632">
        <f>CCBASE!$I$44</f>
        <v>94.69</v>
      </c>
      <c r="U322" s="632"/>
      <c r="V322" s="632"/>
      <c r="W322" s="632">
        <f>CCBASE!$I$40*B322/1000</f>
        <v>92.943089999999998</v>
      </c>
      <c r="X322" s="632"/>
      <c r="Y322" s="632"/>
      <c r="Z322" s="632"/>
      <c r="AA322" s="632"/>
      <c r="AB322" s="632"/>
      <c r="AC322" s="632"/>
      <c r="AD322" s="632">
        <f>CCBASE!$I$36*2</f>
        <v>191.630124</v>
      </c>
    </row>
    <row r="323" spans="1:30" x14ac:dyDescent="0.2">
      <c r="A323" s="630" t="s">
        <v>760</v>
      </c>
      <c r="B323" s="630">
        <v>2500</v>
      </c>
      <c r="C323" s="630">
        <v>1000</v>
      </c>
      <c r="D323" s="630" t="str">
        <f t="shared" si="125"/>
        <v>CMWI25001000</v>
      </c>
      <c r="E323" s="1046">
        <f t="shared" si="104"/>
        <v>2022.8895664499998</v>
      </c>
      <c r="F323" s="631">
        <v>21</v>
      </c>
      <c r="G323" s="632">
        <f>F323*CCBASE!$B$51</f>
        <v>756</v>
      </c>
      <c r="H323" s="632">
        <f>CCBASE!$I$12*B323/1000</f>
        <v>299.12634325000005</v>
      </c>
      <c r="I323" s="632"/>
      <c r="J323" s="632"/>
      <c r="K323" s="632"/>
      <c r="L323" s="632">
        <f>CCBASE!$I$14*B323/1000</f>
        <v>523.43413499999997</v>
      </c>
      <c r="M323" s="632"/>
      <c r="N323" s="632"/>
      <c r="O323" s="632">
        <f>CCBASE!$I$45*B323/1000</f>
        <v>24.925000000000001</v>
      </c>
      <c r="P323" s="632"/>
      <c r="Q323" s="632">
        <f>CCBASE!$H$51</f>
        <v>5.16</v>
      </c>
      <c r="R323" s="632">
        <f>CCBASE!$I$4</f>
        <v>8.3986041999999994</v>
      </c>
      <c r="S323" s="632">
        <f>CCBASE!$I$8</f>
        <v>16.25526</v>
      </c>
      <c r="T323" s="632">
        <f>CCBASE!$I$44</f>
        <v>94.69</v>
      </c>
      <c r="U323" s="632"/>
      <c r="V323" s="632"/>
      <c r="W323" s="632">
        <f>CCBASE!$I$40*B323/1000</f>
        <v>103.27009999999999</v>
      </c>
      <c r="X323" s="632"/>
      <c r="Y323" s="632"/>
      <c r="Z323" s="632"/>
      <c r="AA323" s="632"/>
      <c r="AB323" s="632"/>
      <c r="AC323" s="632"/>
      <c r="AD323" s="632">
        <f>CCBASE!$I$36*2</f>
        <v>191.630124</v>
      </c>
    </row>
    <row r="324" spans="1:30" x14ac:dyDescent="0.2">
      <c r="A324" s="630" t="s">
        <v>760</v>
      </c>
      <c r="B324" s="630">
        <v>2750</v>
      </c>
      <c r="C324" s="630">
        <v>1000</v>
      </c>
      <c r="D324" s="630" t="str">
        <f t="shared" ref="D324" si="129">A324&amp;B324&amp;C324</f>
        <v>CMWI27501000</v>
      </c>
      <c r="E324" s="1046">
        <f t="shared" si="104"/>
        <v>2117.9651242749997</v>
      </c>
      <c r="F324" s="631">
        <v>21</v>
      </c>
      <c r="G324" s="632">
        <f>F324*CCBASE!$B$51</f>
        <v>756</v>
      </c>
      <c r="H324" s="632">
        <f>CCBASE!$I$12*B324/1000</f>
        <v>329.03897757500005</v>
      </c>
      <c r="I324" s="632"/>
      <c r="J324" s="632"/>
      <c r="K324" s="632"/>
      <c r="L324" s="632">
        <f>CCBASE!$I$14*B324/1000</f>
        <v>575.77754849999997</v>
      </c>
      <c r="M324" s="632"/>
      <c r="N324" s="632"/>
      <c r="O324" s="632">
        <f>CCBASE!$I$45*B324/1000</f>
        <v>27.4175</v>
      </c>
      <c r="P324" s="632"/>
      <c r="Q324" s="632">
        <f>CCBASE!$H$51</f>
        <v>5.16</v>
      </c>
      <c r="R324" s="632">
        <f>CCBASE!$I$4</f>
        <v>8.3986041999999994</v>
      </c>
      <c r="S324" s="632">
        <f>CCBASE!$I$8</f>
        <v>16.25526</v>
      </c>
      <c r="T324" s="632">
        <f>CCBASE!$I$44</f>
        <v>94.69</v>
      </c>
      <c r="U324" s="632"/>
      <c r="V324" s="632"/>
      <c r="W324" s="632">
        <f>CCBASE!$I$40*B324/1000</f>
        <v>113.59711</v>
      </c>
      <c r="X324" s="632"/>
      <c r="Y324" s="632"/>
      <c r="Z324" s="632"/>
      <c r="AA324" s="632"/>
      <c r="AB324" s="632"/>
      <c r="AC324" s="632"/>
      <c r="AD324" s="632">
        <f>CCBASE!$I$36*2</f>
        <v>191.630124</v>
      </c>
    </row>
    <row r="325" spans="1:30" x14ac:dyDescent="0.2">
      <c r="A325" s="630" t="s">
        <v>760</v>
      </c>
      <c r="B325" s="630">
        <v>3000</v>
      </c>
      <c r="C325" s="630">
        <v>1000</v>
      </c>
      <c r="D325" s="630" t="str">
        <f t="shared" si="125"/>
        <v>CMWI30001000</v>
      </c>
      <c r="E325" s="1046">
        <f t="shared" si="104"/>
        <v>2213.0406820999997</v>
      </c>
      <c r="F325" s="631">
        <v>21</v>
      </c>
      <c r="G325" s="632">
        <f>F325*CCBASE!$B$51</f>
        <v>756</v>
      </c>
      <c r="H325" s="632">
        <f>CCBASE!$I$12*B325/1000</f>
        <v>358.95161190000005</v>
      </c>
      <c r="I325" s="632"/>
      <c r="J325" s="632"/>
      <c r="K325" s="632"/>
      <c r="L325" s="632">
        <f>CCBASE!$I$14*B325/1000</f>
        <v>628.12096199999996</v>
      </c>
      <c r="M325" s="632"/>
      <c r="N325" s="632"/>
      <c r="O325" s="632">
        <f>CCBASE!$I$45*B325/1000</f>
        <v>29.910000000000004</v>
      </c>
      <c r="P325" s="632"/>
      <c r="Q325" s="632">
        <f>CCBASE!$H$51</f>
        <v>5.16</v>
      </c>
      <c r="R325" s="632">
        <f>CCBASE!$I$4</f>
        <v>8.3986041999999994</v>
      </c>
      <c r="S325" s="632">
        <f>CCBASE!$I$8</f>
        <v>16.25526</v>
      </c>
      <c r="T325" s="632">
        <f>CCBASE!$I$44</f>
        <v>94.69</v>
      </c>
      <c r="U325" s="632"/>
      <c r="V325" s="632"/>
      <c r="W325" s="632">
        <f>CCBASE!$I$40*B325/1000</f>
        <v>123.92412</v>
      </c>
      <c r="X325" s="632"/>
      <c r="Y325" s="632"/>
      <c r="Z325" s="632"/>
      <c r="AA325" s="632"/>
      <c r="AB325" s="632"/>
      <c r="AC325" s="632"/>
      <c r="AD325" s="632">
        <f>CCBASE!$I$36*2</f>
        <v>191.630124</v>
      </c>
    </row>
    <row r="326" spans="1:30" x14ac:dyDescent="0.2">
      <c r="A326" s="630" t="s">
        <v>760</v>
      </c>
      <c r="B326" s="630">
        <v>1000</v>
      </c>
      <c r="C326" s="630">
        <v>1250</v>
      </c>
      <c r="D326" s="630" t="str">
        <f t="shared" si="125"/>
        <v>CMWI10001250</v>
      </c>
      <c r="E326" s="1046">
        <f t="shared" si="104"/>
        <v>1416.4362194999999</v>
      </c>
      <c r="F326" s="631">
        <v>20</v>
      </c>
      <c r="G326" s="632">
        <f>F326*CCBASE!$B$51</f>
        <v>720</v>
      </c>
      <c r="H326" s="632">
        <f>CCBASE!$I$12*B326/1000</f>
        <v>119.65053730000001</v>
      </c>
      <c r="I326" s="632"/>
      <c r="J326" s="632"/>
      <c r="K326" s="632"/>
      <c r="L326" s="632">
        <f>CCBASE!$I$14*B326/1000</f>
        <v>209.37365399999999</v>
      </c>
      <c r="M326" s="632"/>
      <c r="N326" s="632"/>
      <c r="O326" s="632">
        <f>CCBASE!$I$45*B326/1000</f>
        <v>9.9700000000000006</v>
      </c>
      <c r="P326" s="632"/>
      <c r="Q326" s="632">
        <f>CCBASE!$H$51</f>
        <v>5.16</v>
      </c>
      <c r="R326" s="632">
        <f>CCBASE!$I$4</f>
        <v>8.3986041999999994</v>
      </c>
      <c r="S326" s="632">
        <f>CCBASE!$I$8</f>
        <v>16.25526</v>
      </c>
      <c r="T326" s="632">
        <f>CCBASE!$I$44</f>
        <v>94.69</v>
      </c>
      <c r="U326" s="632"/>
      <c r="V326" s="632"/>
      <c r="W326" s="632">
        <f>CCBASE!$I$40*B326/1000</f>
        <v>41.308039999999998</v>
      </c>
      <c r="X326" s="632"/>
      <c r="Y326" s="632"/>
      <c r="Z326" s="632"/>
      <c r="AA326" s="632"/>
      <c r="AB326" s="632"/>
      <c r="AC326" s="632"/>
      <c r="AD326" s="632">
        <f>CCBASE!$I$36*2</f>
        <v>191.630124</v>
      </c>
    </row>
    <row r="327" spans="1:30" x14ac:dyDescent="0.2">
      <c r="A327" s="630" t="s">
        <v>760</v>
      </c>
      <c r="B327" s="630">
        <v>1250</v>
      </c>
      <c r="C327" s="630">
        <v>1250</v>
      </c>
      <c r="D327" s="630" t="str">
        <f t="shared" ref="D327" si="130">A327&amp;B327&amp;C327</f>
        <v>CMWI12501250</v>
      </c>
      <c r="E327" s="1046">
        <f t="shared" si="104"/>
        <v>1511.5117773250001</v>
      </c>
      <c r="F327" s="631">
        <v>20</v>
      </c>
      <c r="G327" s="632">
        <f>F327*CCBASE!$B$51</f>
        <v>720</v>
      </c>
      <c r="H327" s="632">
        <f>CCBASE!$I$12*B327/1000</f>
        <v>149.56317162500002</v>
      </c>
      <c r="I327" s="632"/>
      <c r="J327" s="632"/>
      <c r="K327" s="632"/>
      <c r="L327" s="632">
        <f>CCBASE!$I$14*B327/1000</f>
        <v>261.71706749999998</v>
      </c>
      <c r="M327" s="632"/>
      <c r="N327" s="632"/>
      <c r="O327" s="632">
        <f>CCBASE!$I$45*B327/1000</f>
        <v>12.4625</v>
      </c>
      <c r="P327" s="632"/>
      <c r="Q327" s="632">
        <f>CCBASE!$H$51</f>
        <v>5.16</v>
      </c>
      <c r="R327" s="632">
        <f>CCBASE!$I$4</f>
        <v>8.3986041999999994</v>
      </c>
      <c r="S327" s="632">
        <f>CCBASE!$I$8</f>
        <v>16.25526</v>
      </c>
      <c r="T327" s="632">
        <f>CCBASE!$I$44</f>
        <v>94.69</v>
      </c>
      <c r="U327" s="632"/>
      <c r="V327" s="632"/>
      <c r="W327" s="632">
        <f>CCBASE!$I$40*B327/1000</f>
        <v>51.635049999999993</v>
      </c>
      <c r="X327" s="632"/>
      <c r="Y327" s="632"/>
      <c r="Z327" s="632"/>
      <c r="AA327" s="632"/>
      <c r="AB327" s="632"/>
      <c r="AC327" s="632"/>
      <c r="AD327" s="632">
        <f>CCBASE!$I$36*2</f>
        <v>191.630124</v>
      </c>
    </row>
    <row r="328" spans="1:30" x14ac:dyDescent="0.2">
      <c r="A328" s="630" t="s">
        <v>760</v>
      </c>
      <c r="B328" s="630">
        <v>1500</v>
      </c>
      <c r="C328" s="630">
        <v>1250</v>
      </c>
      <c r="D328" s="630" t="str">
        <f t="shared" si="125"/>
        <v>CMWI15001250</v>
      </c>
      <c r="E328" s="1046">
        <f t="shared" si="104"/>
        <v>1606.5873351499999</v>
      </c>
      <c r="F328" s="631">
        <v>20</v>
      </c>
      <c r="G328" s="632">
        <f>F328*CCBASE!$B$51</f>
        <v>720</v>
      </c>
      <c r="H328" s="632">
        <f>CCBASE!$I$12*B328/1000</f>
        <v>179.47580595000002</v>
      </c>
      <c r="I328" s="632"/>
      <c r="J328" s="632"/>
      <c r="K328" s="632"/>
      <c r="L328" s="632">
        <f>CCBASE!$I$14*B328/1000</f>
        <v>314.06048099999998</v>
      </c>
      <c r="M328" s="632"/>
      <c r="N328" s="632"/>
      <c r="O328" s="632">
        <f>CCBASE!$I$45*B328/1000</f>
        <v>14.955000000000002</v>
      </c>
      <c r="P328" s="632"/>
      <c r="Q328" s="632">
        <f>CCBASE!$H$51</f>
        <v>5.16</v>
      </c>
      <c r="R328" s="632">
        <f>CCBASE!$I$4</f>
        <v>8.3986041999999994</v>
      </c>
      <c r="S328" s="632">
        <f>CCBASE!$I$8</f>
        <v>16.25526</v>
      </c>
      <c r="T328" s="632">
        <f>CCBASE!$I$44</f>
        <v>94.69</v>
      </c>
      <c r="U328" s="632"/>
      <c r="V328" s="632"/>
      <c r="W328" s="632">
        <f>CCBASE!$I$40*B328/1000</f>
        <v>61.962060000000001</v>
      </c>
      <c r="X328" s="632"/>
      <c r="Y328" s="632"/>
      <c r="Z328" s="632"/>
      <c r="AA328" s="632"/>
      <c r="AB328" s="632"/>
      <c r="AC328" s="632"/>
      <c r="AD328" s="632">
        <f>CCBASE!$I$36*2</f>
        <v>191.630124</v>
      </c>
    </row>
    <row r="329" spans="1:30" x14ac:dyDescent="0.2">
      <c r="A329" s="630" t="s">
        <v>760</v>
      </c>
      <c r="B329" s="630">
        <v>1750</v>
      </c>
      <c r="C329" s="630">
        <v>1250</v>
      </c>
      <c r="D329" s="630" t="str">
        <f t="shared" ref="D329" si="131">A329&amp;B329&amp;C329</f>
        <v>CMWI17501250</v>
      </c>
      <c r="E329" s="1046">
        <f t="shared" si="104"/>
        <v>1701.662892975</v>
      </c>
      <c r="F329" s="631">
        <v>20</v>
      </c>
      <c r="G329" s="632">
        <f>F329*CCBASE!$B$51</f>
        <v>720</v>
      </c>
      <c r="H329" s="632">
        <f>CCBASE!$I$12*B329/1000</f>
        <v>209.38844027500002</v>
      </c>
      <c r="I329" s="632"/>
      <c r="J329" s="632"/>
      <c r="K329" s="632"/>
      <c r="L329" s="632">
        <f>CCBASE!$I$14*B329/1000</f>
        <v>366.40389449999998</v>
      </c>
      <c r="M329" s="632"/>
      <c r="N329" s="632"/>
      <c r="O329" s="632">
        <f>CCBASE!$I$45*B329/1000</f>
        <v>17.447500000000002</v>
      </c>
      <c r="P329" s="632"/>
      <c r="Q329" s="632">
        <f>CCBASE!$H$51</f>
        <v>5.16</v>
      </c>
      <c r="R329" s="632">
        <f>CCBASE!$I$4</f>
        <v>8.3986041999999994</v>
      </c>
      <c r="S329" s="632">
        <f>CCBASE!$I$8</f>
        <v>16.25526</v>
      </c>
      <c r="T329" s="632">
        <f>CCBASE!$I$44</f>
        <v>94.69</v>
      </c>
      <c r="U329" s="632"/>
      <c r="V329" s="632"/>
      <c r="W329" s="632">
        <f>CCBASE!$I$40*B329/1000</f>
        <v>72.289069999999995</v>
      </c>
      <c r="X329" s="632"/>
      <c r="Y329" s="632"/>
      <c r="Z329" s="632"/>
      <c r="AA329" s="632"/>
      <c r="AB329" s="632"/>
      <c r="AC329" s="632"/>
      <c r="AD329" s="632">
        <f>CCBASE!$I$36*2</f>
        <v>191.630124</v>
      </c>
    </row>
    <row r="330" spans="1:30" x14ac:dyDescent="0.2">
      <c r="A330" s="630" t="s">
        <v>760</v>
      </c>
      <c r="B330" s="630">
        <v>2000</v>
      </c>
      <c r="C330" s="630">
        <v>1250</v>
      </c>
      <c r="D330" s="630" t="str">
        <f t="shared" si="125"/>
        <v>CMWI20001250</v>
      </c>
      <c r="E330" s="1046">
        <f t="shared" si="104"/>
        <v>1796.7384508</v>
      </c>
      <c r="F330" s="631">
        <v>20</v>
      </c>
      <c r="G330" s="632">
        <f>F330*CCBASE!$B$51</f>
        <v>720</v>
      </c>
      <c r="H330" s="632">
        <f>CCBASE!$I$12*B330/1000</f>
        <v>239.30107460000002</v>
      </c>
      <c r="I330" s="632"/>
      <c r="J330" s="632"/>
      <c r="K330" s="632"/>
      <c r="L330" s="632">
        <f>CCBASE!$I$14*B330/1000</f>
        <v>418.74730799999998</v>
      </c>
      <c r="M330" s="632"/>
      <c r="N330" s="632"/>
      <c r="O330" s="632">
        <f>CCBASE!$I$45*B330/1000</f>
        <v>19.940000000000001</v>
      </c>
      <c r="P330" s="632"/>
      <c r="Q330" s="632">
        <f>CCBASE!$H$51</f>
        <v>5.16</v>
      </c>
      <c r="R330" s="632">
        <f>CCBASE!$I$4</f>
        <v>8.3986041999999994</v>
      </c>
      <c r="S330" s="632">
        <f>CCBASE!$I$8</f>
        <v>16.25526</v>
      </c>
      <c r="T330" s="632">
        <f>CCBASE!$I$44</f>
        <v>94.69</v>
      </c>
      <c r="U330" s="632"/>
      <c r="V330" s="632"/>
      <c r="W330" s="632">
        <f>CCBASE!$I$40*B330/1000</f>
        <v>82.616079999999997</v>
      </c>
      <c r="X330" s="632"/>
      <c r="Y330" s="632"/>
      <c r="Z330" s="632"/>
      <c r="AA330" s="632"/>
      <c r="AB330" s="632"/>
      <c r="AC330" s="632"/>
      <c r="AD330" s="632">
        <f>CCBASE!$I$36*2</f>
        <v>191.630124</v>
      </c>
    </row>
    <row r="331" spans="1:30" x14ac:dyDescent="0.2">
      <c r="A331" s="630" t="s">
        <v>760</v>
      </c>
      <c r="B331" s="630">
        <v>2250</v>
      </c>
      <c r="C331" s="630">
        <v>1250</v>
      </c>
      <c r="D331" s="630" t="str">
        <f t="shared" ref="D331" si="132">A331&amp;B331&amp;C331</f>
        <v>CMWI22501250</v>
      </c>
      <c r="E331" s="1046">
        <f t="shared" si="104"/>
        <v>1927.8140086249998</v>
      </c>
      <c r="F331" s="631">
        <v>21</v>
      </c>
      <c r="G331" s="632">
        <f>F331*CCBASE!$B$51</f>
        <v>756</v>
      </c>
      <c r="H331" s="632">
        <f>CCBASE!$I$12*B331/1000</f>
        <v>269.21370892500005</v>
      </c>
      <c r="I331" s="632"/>
      <c r="J331" s="632"/>
      <c r="K331" s="632"/>
      <c r="L331" s="632">
        <f>CCBASE!$I$14*B331/1000</f>
        <v>471.09072149999997</v>
      </c>
      <c r="M331" s="632"/>
      <c r="N331" s="632"/>
      <c r="O331" s="632">
        <f>CCBASE!$I$45*B331/1000</f>
        <v>22.432500000000001</v>
      </c>
      <c r="P331" s="632"/>
      <c r="Q331" s="632">
        <f>CCBASE!$H$51</f>
        <v>5.16</v>
      </c>
      <c r="R331" s="632">
        <f>CCBASE!$I$4</f>
        <v>8.3986041999999994</v>
      </c>
      <c r="S331" s="632">
        <f>CCBASE!$I$8</f>
        <v>16.25526</v>
      </c>
      <c r="T331" s="632">
        <f>CCBASE!$I$44</f>
        <v>94.69</v>
      </c>
      <c r="U331" s="632"/>
      <c r="V331" s="632"/>
      <c r="W331" s="632">
        <f>CCBASE!$I$40*B331/1000</f>
        <v>92.943089999999998</v>
      </c>
      <c r="X331" s="632"/>
      <c r="Y331" s="632"/>
      <c r="Z331" s="632"/>
      <c r="AA331" s="632"/>
      <c r="AB331" s="632"/>
      <c r="AC331" s="632"/>
      <c r="AD331" s="632">
        <f>CCBASE!$I$36*2</f>
        <v>191.630124</v>
      </c>
    </row>
    <row r="332" spans="1:30" x14ac:dyDescent="0.2">
      <c r="A332" s="630" t="s">
        <v>760</v>
      </c>
      <c r="B332" s="630">
        <v>2500</v>
      </c>
      <c r="C332" s="630">
        <v>1250</v>
      </c>
      <c r="D332" s="630" t="str">
        <f t="shared" si="125"/>
        <v>CMWI25001250</v>
      </c>
      <c r="E332" s="1046">
        <f t="shared" ref="E332:E404" si="133">SUM(G332:AD332)</f>
        <v>2022.8895664499998</v>
      </c>
      <c r="F332" s="631">
        <v>21</v>
      </c>
      <c r="G332" s="632">
        <f>F332*CCBASE!$B$51</f>
        <v>756</v>
      </c>
      <c r="H332" s="632">
        <f>CCBASE!$I$12*B332/1000</f>
        <v>299.12634325000005</v>
      </c>
      <c r="I332" s="632"/>
      <c r="J332" s="632"/>
      <c r="K332" s="632"/>
      <c r="L332" s="632">
        <f>CCBASE!$I$14*B332/1000</f>
        <v>523.43413499999997</v>
      </c>
      <c r="M332" s="632"/>
      <c r="N332" s="632"/>
      <c r="O332" s="632">
        <f>CCBASE!$I$45*B332/1000</f>
        <v>24.925000000000001</v>
      </c>
      <c r="P332" s="632"/>
      <c r="Q332" s="632">
        <f>CCBASE!$H$51</f>
        <v>5.16</v>
      </c>
      <c r="R332" s="632">
        <f>CCBASE!$I$4</f>
        <v>8.3986041999999994</v>
      </c>
      <c r="S332" s="632">
        <f>CCBASE!$I$8</f>
        <v>16.25526</v>
      </c>
      <c r="T332" s="632">
        <f>CCBASE!$I$44</f>
        <v>94.69</v>
      </c>
      <c r="U332" s="632"/>
      <c r="V332" s="632"/>
      <c r="W332" s="632">
        <f>CCBASE!$I$40*B332/1000</f>
        <v>103.27009999999999</v>
      </c>
      <c r="X332" s="632"/>
      <c r="Y332" s="632"/>
      <c r="Z332" s="632"/>
      <c r="AA332" s="632"/>
      <c r="AB332" s="632"/>
      <c r="AC332" s="632"/>
      <c r="AD332" s="632">
        <f>CCBASE!$I$36*2</f>
        <v>191.630124</v>
      </c>
    </row>
    <row r="333" spans="1:30" x14ac:dyDescent="0.2">
      <c r="A333" s="630" t="s">
        <v>760</v>
      </c>
      <c r="B333" s="630">
        <v>2750</v>
      </c>
      <c r="C333" s="630">
        <v>1250</v>
      </c>
      <c r="D333" s="630" t="str">
        <f t="shared" ref="D333" si="134">A333&amp;B333&amp;C333</f>
        <v>CMWI27501250</v>
      </c>
      <c r="E333" s="1046">
        <f t="shared" si="133"/>
        <v>2117.9651242749997</v>
      </c>
      <c r="F333" s="631">
        <v>21</v>
      </c>
      <c r="G333" s="632">
        <f>F333*CCBASE!$B$51</f>
        <v>756</v>
      </c>
      <c r="H333" s="632">
        <f>CCBASE!$I$12*B333/1000</f>
        <v>329.03897757500005</v>
      </c>
      <c r="I333" s="632"/>
      <c r="J333" s="632"/>
      <c r="K333" s="632"/>
      <c r="L333" s="632">
        <f>CCBASE!$I$14*B333/1000</f>
        <v>575.77754849999997</v>
      </c>
      <c r="M333" s="632"/>
      <c r="N333" s="632"/>
      <c r="O333" s="632">
        <f>CCBASE!$I$45*B333/1000</f>
        <v>27.4175</v>
      </c>
      <c r="P333" s="632"/>
      <c r="Q333" s="632">
        <f>CCBASE!$H$51</f>
        <v>5.16</v>
      </c>
      <c r="R333" s="632">
        <f>CCBASE!$I$4</f>
        <v>8.3986041999999994</v>
      </c>
      <c r="S333" s="632">
        <f>CCBASE!$I$8</f>
        <v>16.25526</v>
      </c>
      <c r="T333" s="632">
        <f>CCBASE!$I$44</f>
        <v>94.69</v>
      </c>
      <c r="U333" s="632"/>
      <c r="V333" s="632"/>
      <c r="W333" s="632">
        <f>CCBASE!$I$40*B333/1000</f>
        <v>113.59711</v>
      </c>
      <c r="X333" s="632"/>
      <c r="Y333" s="632"/>
      <c r="Z333" s="632"/>
      <c r="AA333" s="632"/>
      <c r="AB333" s="632"/>
      <c r="AC333" s="632"/>
      <c r="AD333" s="632">
        <f>CCBASE!$I$36*2</f>
        <v>191.630124</v>
      </c>
    </row>
    <row r="334" spans="1:30" x14ac:dyDescent="0.2">
      <c r="A334" s="630" t="s">
        <v>760</v>
      </c>
      <c r="B334" s="630">
        <v>3000</v>
      </c>
      <c r="C334" s="630">
        <v>1250</v>
      </c>
      <c r="D334" s="630" t="str">
        <f t="shared" si="125"/>
        <v>CMWI30001250</v>
      </c>
      <c r="E334" s="1046">
        <f t="shared" si="133"/>
        <v>2213.0406820999997</v>
      </c>
      <c r="F334" s="631">
        <v>21</v>
      </c>
      <c r="G334" s="632">
        <f>F334*CCBASE!$B$51</f>
        <v>756</v>
      </c>
      <c r="H334" s="632">
        <f>CCBASE!$I$12*B334/1000</f>
        <v>358.95161190000005</v>
      </c>
      <c r="I334" s="632"/>
      <c r="J334" s="632"/>
      <c r="K334" s="632"/>
      <c r="L334" s="632">
        <f>CCBASE!$I$14*B334/1000</f>
        <v>628.12096199999996</v>
      </c>
      <c r="M334" s="632"/>
      <c r="N334" s="632"/>
      <c r="O334" s="632">
        <f>CCBASE!$I$45*B334/1000</f>
        <v>29.910000000000004</v>
      </c>
      <c r="P334" s="632"/>
      <c r="Q334" s="632">
        <f>CCBASE!$H$51</f>
        <v>5.16</v>
      </c>
      <c r="R334" s="632">
        <f>CCBASE!$I$4</f>
        <v>8.3986041999999994</v>
      </c>
      <c r="S334" s="632">
        <f>CCBASE!$I$8</f>
        <v>16.25526</v>
      </c>
      <c r="T334" s="632">
        <f>CCBASE!$I$44</f>
        <v>94.69</v>
      </c>
      <c r="U334" s="632"/>
      <c r="V334" s="632"/>
      <c r="W334" s="632">
        <f>CCBASE!$I$40*B334/1000</f>
        <v>123.92412</v>
      </c>
      <c r="X334" s="632"/>
      <c r="Y334" s="632"/>
      <c r="Z334" s="632"/>
      <c r="AA334" s="632"/>
      <c r="AB334" s="632"/>
      <c r="AC334" s="632"/>
      <c r="AD334" s="632">
        <f>CCBASE!$I$36*2</f>
        <v>191.630124</v>
      </c>
    </row>
    <row r="335" spans="1:30" x14ac:dyDescent="0.2">
      <c r="A335" s="630" t="s">
        <v>760</v>
      </c>
      <c r="B335" s="630">
        <v>1000</v>
      </c>
      <c r="C335" s="630">
        <v>1500</v>
      </c>
      <c r="D335" s="630" t="str">
        <f t="shared" si="125"/>
        <v>CMWI10001500</v>
      </c>
      <c r="E335" s="1046">
        <f t="shared" si="133"/>
        <v>1482.6787315000001</v>
      </c>
      <c r="F335" s="631">
        <v>20</v>
      </c>
      <c r="G335" s="632">
        <f>F335*CCBASE!$B$51</f>
        <v>720</v>
      </c>
      <c r="H335" s="632">
        <f>CCBASE!$I$12*B335/1000</f>
        <v>119.65053730000001</v>
      </c>
      <c r="I335" s="632"/>
      <c r="J335" s="632"/>
      <c r="K335" s="632"/>
      <c r="L335" s="632">
        <f>CCBASE!$I$14*B335/1000</f>
        <v>209.37365399999999</v>
      </c>
      <c r="M335" s="632"/>
      <c r="N335" s="632"/>
      <c r="O335" s="632">
        <f>CCBASE!$I$45*B335/1000</f>
        <v>9.9700000000000006</v>
      </c>
      <c r="P335" s="632"/>
      <c r="Q335" s="632">
        <f>CCBASE!$H$51</f>
        <v>5.16</v>
      </c>
      <c r="R335" s="632">
        <f>CCBASE!$I$4</f>
        <v>8.3986041999999994</v>
      </c>
      <c r="S335" s="632">
        <f>CCBASE!$I$8</f>
        <v>16.25526</v>
      </c>
      <c r="T335" s="632">
        <f>CCBASE!$I$44</f>
        <v>94.69</v>
      </c>
      <c r="U335" s="632"/>
      <c r="V335" s="632"/>
      <c r="W335" s="632">
        <f>CCBASE!$I$41*B335/1000</f>
        <v>59.051569999999998</v>
      </c>
      <c r="X335" s="632"/>
      <c r="Y335" s="632"/>
      <c r="Z335" s="632"/>
      <c r="AA335" s="632"/>
      <c r="AB335" s="632"/>
      <c r="AC335" s="632"/>
      <c r="AD335" s="632">
        <f>CCBASE!$I$37*2</f>
        <v>240.12910599999998</v>
      </c>
    </row>
    <row r="336" spans="1:30" x14ac:dyDescent="0.2">
      <c r="A336" s="630" t="s">
        <v>760</v>
      </c>
      <c r="B336" s="630">
        <v>1250</v>
      </c>
      <c r="C336" s="630">
        <v>1500</v>
      </c>
      <c r="D336" s="630" t="str">
        <f t="shared" ref="D336" si="135">A336&amp;B336&amp;C336</f>
        <v>CMWI12501500</v>
      </c>
      <c r="E336" s="1046">
        <f t="shared" si="133"/>
        <v>1582.1901718250001</v>
      </c>
      <c r="F336" s="631">
        <v>20</v>
      </c>
      <c r="G336" s="632">
        <f>F336*CCBASE!$B$51</f>
        <v>720</v>
      </c>
      <c r="H336" s="632">
        <f>CCBASE!$I$12*B336/1000</f>
        <v>149.56317162500002</v>
      </c>
      <c r="I336" s="632"/>
      <c r="J336" s="632"/>
      <c r="K336" s="632"/>
      <c r="L336" s="632">
        <f>CCBASE!$I$14*B336/1000</f>
        <v>261.71706749999998</v>
      </c>
      <c r="M336" s="632"/>
      <c r="N336" s="632"/>
      <c r="O336" s="632">
        <f>CCBASE!$I$45*B336/1000</f>
        <v>12.4625</v>
      </c>
      <c r="P336" s="632"/>
      <c r="Q336" s="632">
        <f>CCBASE!$H$51</f>
        <v>5.16</v>
      </c>
      <c r="R336" s="632">
        <f>CCBASE!$I$4</f>
        <v>8.3986041999999994</v>
      </c>
      <c r="S336" s="632">
        <f>CCBASE!$I$8</f>
        <v>16.25526</v>
      </c>
      <c r="T336" s="632">
        <f>CCBASE!$I$44</f>
        <v>94.69</v>
      </c>
      <c r="U336" s="632"/>
      <c r="V336" s="632"/>
      <c r="W336" s="632">
        <f>CCBASE!$I$41*B336/1000</f>
        <v>73.814462499999991</v>
      </c>
      <c r="X336" s="632"/>
      <c r="Y336" s="632"/>
      <c r="Z336" s="632"/>
      <c r="AA336" s="632"/>
      <c r="AB336" s="632"/>
      <c r="AC336" s="632"/>
      <c r="AD336" s="632">
        <f>CCBASE!$I$37*2</f>
        <v>240.12910599999998</v>
      </c>
    </row>
    <row r="337" spans="1:30" x14ac:dyDescent="0.2">
      <c r="A337" s="630" t="s">
        <v>760</v>
      </c>
      <c r="B337" s="630">
        <v>1500</v>
      </c>
      <c r="C337" s="630">
        <v>1500</v>
      </c>
      <c r="D337" s="630" t="str">
        <f t="shared" si="125"/>
        <v>CMWI15001500</v>
      </c>
      <c r="E337" s="1046">
        <f t="shared" si="133"/>
        <v>1681.7016121499996</v>
      </c>
      <c r="F337" s="631">
        <v>20</v>
      </c>
      <c r="G337" s="632">
        <f>F337*CCBASE!$B$51</f>
        <v>720</v>
      </c>
      <c r="H337" s="632">
        <f>CCBASE!$I$12*B337/1000</f>
        <v>179.47580595000002</v>
      </c>
      <c r="I337" s="632"/>
      <c r="J337" s="632"/>
      <c r="K337" s="632"/>
      <c r="L337" s="632">
        <f>CCBASE!$I$14*B337/1000</f>
        <v>314.06048099999998</v>
      </c>
      <c r="M337" s="632"/>
      <c r="N337" s="632"/>
      <c r="O337" s="632">
        <f>CCBASE!$I$45*B337/1000</f>
        <v>14.955000000000002</v>
      </c>
      <c r="P337" s="632"/>
      <c r="Q337" s="632">
        <f>CCBASE!$H$51</f>
        <v>5.16</v>
      </c>
      <c r="R337" s="632">
        <f>CCBASE!$I$4</f>
        <v>8.3986041999999994</v>
      </c>
      <c r="S337" s="632">
        <f>CCBASE!$I$8</f>
        <v>16.25526</v>
      </c>
      <c r="T337" s="632">
        <f>CCBASE!$I$44</f>
        <v>94.69</v>
      </c>
      <c r="U337" s="632"/>
      <c r="V337" s="632"/>
      <c r="W337" s="632">
        <f>CCBASE!$I$41*B337/1000</f>
        <v>88.577354999999997</v>
      </c>
      <c r="X337" s="632"/>
      <c r="Y337" s="632"/>
      <c r="Z337" s="632"/>
      <c r="AA337" s="632"/>
      <c r="AB337" s="632"/>
      <c r="AC337" s="632"/>
      <c r="AD337" s="632">
        <f>CCBASE!$I$37*2</f>
        <v>240.12910599999998</v>
      </c>
    </row>
    <row r="338" spans="1:30" x14ac:dyDescent="0.2">
      <c r="A338" s="630" t="s">
        <v>760</v>
      </c>
      <c r="B338" s="630">
        <v>1750</v>
      </c>
      <c r="C338" s="630">
        <v>1500</v>
      </c>
      <c r="D338" s="630" t="str">
        <f t="shared" ref="D338" si="136">A338&amp;B338&amp;C338</f>
        <v>CMWI17501500</v>
      </c>
      <c r="E338" s="1046">
        <f t="shared" si="133"/>
        <v>1781.213052475</v>
      </c>
      <c r="F338" s="631">
        <v>20</v>
      </c>
      <c r="G338" s="632">
        <f>F338*CCBASE!$B$51</f>
        <v>720</v>
      </c>
      <c r="H338" s="632">
        <f>CCBASE!$I$12*B338/1000</f>
        <v>209.38844027500002</v>
      </c>
      <c r="I338" s="632"/>
      <c r="J338" s="632"/>
      <c r="K338" s="632"/>
      <c r="L338" s="632">
        <f>CCBASE!$I$14*B338/1000</f>
        <v>366.40389449999998</v>
      </c>
      <c r="M338" s="632"/>
      <c r="N338" s="632"/>
      <c r="O338" s="632">
        <f>CCBASE!$I$45*B338/1000</f>
        <v>17.447500000000002</v>
      </c>
      <c r="P338" s="632"/>
      <c r="Q338" s="632">
        <f>CCBASE!$H$51</f>
        <v>5.16</v>
      </c>
      <c r="R338" s="632">
        <f>CCBASE!$I$4</f>
        <v>8.3986041999999994</v>
      </c>
      <c r="S338" s="632">
        <f>CCBASE!$I$8</f>
        <v>16.25526</v>
      </c>
      <c r="T338" s="632">
        <f>CCBASE!$I$44</f>
        <v>94.69</v>
      </c>
      <c r="U338" s="632"/>
      <c r="V338" s="632"/>
      <c r="W338" s="632">
        <f>CCBASE!$I$41*B338/1000</f>
        <v>103.3402475</v>
      </c>
      <c r="X338" s="632"/>
      <c r="Y338" s="632"/>
      <c r="Z338" s="632"/>
      <c r="AA338" s="632"/>
      <c r="AB338" s="632"/>
      <c r="AC338" s="632"/>
      <c r="AD338" s="632">
        <f>CCBASE!$I$37*2</f>
        <v>240.12910599999998</v>
      </c>
    </row>
    <row r="339" spans="1:30" x14ac:dyDescent="0.2">
      <c r="A339" s="630" t="s">
        <v>760</v>
      </c>
      <c r="B339" s="630">
        <v>2000</v>
      </c>
      <c r="C339" s="630">
        <v>1500</v>
      </c>
      <c r="D339" s="630" t="str">
        <f t="shared" si="125"/>
        <v>CMWI20001500</v>
      </c>
      <c r="E339" s="1046">
        <f t="shared" si="133"/>
        <v>1880.7244928</v>
      </c>
      <c r="F339" s="631">
        <v>20</v>
      </c>
      <c r="G339" s="632">
        <f>F339*CCBASE!$B$51</f>
        <v>720</v>
      </c>
      <c r="H339" s="632">
        <f>CCBASE!$I$12*B339/1000</f>
        <v>239.30107460000002</v>
      </c>
      <c r="I339" s="632"/>
      <c r="J339" s="632"/>
      <c r="K339" s="632"/>
      <c r="L339" s="632">
        <f>CCBASE!$I$14*B339/1000</f>
        <v>418.74730799999998</v>
      </c>
      <c r="M339" s="632"/>
      <c r="N339" s="632"/>
      <c r="O339" s="632">
        <f>CCBASE!$I$45*B339/1000</f>
        <v>19.940000000000001</v>
      </c>
      <c r="P339" s="632"/>
      <c r="Q339" s="632">
        <f>CCBASE!$H$51</f>
        <v>5.16</v>
      </c>
      <c r="R339" s="632">
        <f>CCBASE!$I$4</f>
        <v>8.3986041999999994</v>
      </c>
      <c r="S339" s="632">
        <f>CCBASE!$I$8</f>
        <v>16.25526</v>
      </c>
      <c r="T339" s="632">
        <f>CCBASE!$I$44</f>
        <v>94.69</v>
      </c>
      <c r="U339" s="632"/>
      <c r="V339" s="632"/>
      <c r="W339" s="632">
        <f>CCBASE!$I$41*B339/1000</f>
        <v>118.10314</v>
      </c>
      <c r="X339" s="632"/>
      <c r="Y339" s="632"/>
      <c r="Z339" s="632"/>
      <c r="AA339" s="632"/>
      <c r="AB339" s="632"/>
      <c r="AC339" s="632"/>
      <c r="AD339" s="632">
        <f>CCBASE!$I$37*2</f>
        <v>240.12910599999998</v>
      </c>
    </row>
    <row r="340" spans="1:30" x14ac:dyDescent="0.2">
      <c r="A340" s="630" t="s">
        <v>760</v>
      </c>
      <c r="B340" s="630">
        <v>2250</v>
      </c>
      <c r="C340" s="630">
        <v>1500</v>
      </c>
      <c r="D340" s="630" t="str">
        <f t="shared" ref="D340" si="137">A340&amp;B340&amp;C340</f>
        <v>CMWI22501500</v>
      </c>
      <c r="E340" s="1046">
        <f t="shared" si="133"/>
        <v>2016.235933125</v>
      </c>
      <c r="F340" s="631">
        <v>21</v>
      </c>
      <c r="G340" s="632">
        <f>F340*CCBASE!$B$51</f>
        <v>756</v>
      </c>
      <c r="H340" s="632">
        <f>CCBASE!$I$12*B340/1000</f>
        <v>269.21370892500005</v>
      </c>
      <c r="I340" s="632"/>
      <c r="J340" s="632"/>
      <c r="K340" s="632"/>
      <c r="L340" s="632">
        <f>CCBASE!$I$14*B340/1000</f>
        <v>471.09072149999997</v>
      </c>
      <c r="M340" s="632"/>
      <c r="N340" s="632"/>
      <c r="O340" s="632">
        <f>CCBASE!$I$45*B340/1000</f>
        <v>22.432500000000001</v>
      </c>
      <c r="P340" s="632"/>
      <c r="Q340" s="632">
        <f>CCBASE!$H$51</f>
        <v>5.16</v>
      </c>
      <c r="R340" s="632">
        <f>CCBASE!$I$4</f>
        <v>8.3986041999999994</v>
      </c>
      <c r="S340" s="632">
        <f>CCBASE!$I$8</f>
        <v>16.25526</v>
      </c>
      <c r="T340" s="632">
        <f>CCBASE!$I$44</f>
        <v>94.69</v>
      </c>
      <c r="U340" s="632"/>
      <c r="V340" s="632"/>
      <c r="W340" s="632">
        <f>CCBASE!$I$41*B340/1000</f>
        <v>132.86603249999999</v>
      </c>
      <c r="X340" s="632"/>
      <c r="Y340" s="632"/>
      <c r="Z340" s="632"/>
      <c r="AA340" s="632"/>
      <c r="AB340" s="632"/>
      <c r="AC340" s="632"/>
      <c r="AD340" s="632">
        <f>CCBASE!$I$37*2</f>
        <v>240.12910599999998</v>
      </c>
    </row>
    <row r="341" spans="1:30" x14ac:dyDescent="0.2">
      <c r="A341" s="630" t="s">
        <v>760</v>
      </c>
      <c r="B341" s="630">
        <v>2500</v>
      </c>
      <c r="C341" s="630">
        <v>1500</v>
      </c>
      <c r="D341" s="630" t="str">
        <f t="shared" si="125"/>
        <v>CMWI25001500</v>
      </c>
      <c r="E341" s="1046">
        <f t="shared" si="133"/>
        <v>2115.7473734499999</v>
      </c>
      <c r="F341" s="631">
        <v>21</v>
      </c>
      <c r="G341" s="632">
        <f>F341*CCBASE!$B$51</f>
        <v>756</v>
      </c>
      <c r="H341" s="632">
        <f>CCBASE!$I$12*B341/1000</f>
        <v>299.12634325000005</v>
      </c>
      <c r="I341" s="632"/>
      <c r="J341" s="632"/>
      <c r="K341" s="632"/>
      <c r="L341" s="632">
        <f>CCBASE!$I$14*B341/1000</f>
        <v>523.43413499999997</v>
      </c>
      <c r="M341" s="632"/>
      <c r="N341" s="632"/>
      <c r="O341" s="632">
        <f>CCBASE!$I$45*B341/1000</f>
        <v>24.925000000000001</v>
      </c>
      <c r="P341" s="632"/>
      <c r="Q341" s="632">
        <f>CCBASE!$H$51</f>
        <v>5.16</v>
      </c>
      <c r="R341" s="632">
        <f>CCBASE!$I$4</f>
        <v>8.3986041999999994</v>
      </c>
      <c r="S341" s="632">
        <f>CCBASE!$I$8</f>
        <v>16.25526</v>
      </c>
      <c r="T341" s="632">
        <f>CCBASE!$I$44</f>
        <v>94.69</v>
      </c>
      <c r="U341" s="632"/>
      <c r="V341" s="632"/>
      <c r="W341" s="632">
        <f>CCBASE!$I$41*B341/1000</f>
        <v>147.62892499999998</v>
      </c>
      <c r="X341" s="632"/>
      <c r="Y341" s="632"/>
      <c r="Z341" s="632"/>
      <c r="AA341" s="632"/>
      <c r="AB341" s="632"/>
      <c r="AC341" s="632"/>
      <c r="AD341" s="632">
        <f>CCBASE!$I$37*2</f>
        <v>240.12910599999998</v>
      </c>
    </row>
    <row r="342" spans="1:30" x14ac:dyDescent="0.2">
      <c r="A342" s="630" t="s">
        <v>760</v>
      </c>
      <c r="B342" s="630">
        <v>2750</v>
      </c>
      <c r="C342" s="630">
        <v>1500</v>
      </c>
      <c r="D342" s="630" t="str">
        <f t="shared" ref="D342" si="138">A342&amp;B342&amp;C342</f>
        <v>CMWI27501500</v>
      </c>
      <c r="E342" s="1046">
        <f t="shared" si="133"/>
        <v>2215.2588137749999</v>
      </c>
      <c r="F342" s="631">
        <v>21</v>
      </c>
      <c r="G342" s="632">
        <f>F342*CCBASE!$B$51</f>
        <v>756</v>
      </c>
      <c r="H342" s="632">
        <f>CCBASE!$I$12*B342/1000</f>
        <v>329.03897757500005</v>
      </c>
      <c r="I342" s="632"/>
      <c r="J342" s="632"/>
      <c r="K342" s="632"/>
      <c r="L342" s="632">
        <f>CCBASE!$I$14*B342/1000</f>
        <v>575.77754849999997</v>
      </c>
      <c r="M342" s="632"/>
      <c r="N342" s="632"/>
      <c r="O342" s="632">
        <f>CCBASE!$I$45*B342/1000</f>
        <v>27.4175</v>
      </c>
      <c r="P342" s="632"/>
      <c r="Q342" s="632">
        <f>CCBASE!$H$51</f>
        <v>5.16</v>
      </c>
      <c r="R342" s="632">
        <f>CCBASE!$I$4</f>
        <v>8.3986041999999994</v>
      </c>
      <c r="S342" s="632">
        <f>CCBASE!$I$8</f>
        <v>16.25526</v>
      </c>
      <c r="T342" s="632">
        <f>CCBASE!$I$44</f>
        <v>94.69</v>
      </c>
      <c r="U342" s="632"/>
      <c r="V342" s="632"/>
      <c r="W342" s="632">
        <f>CCBASE!$I$41*B342/1000</f>
        <v>162.3918175</v>
      </c>
      <c r="X342" s="632"/>
      <c r="Y342" s="632"/>
      <c r="Z342" s="632"/>
      <c r="AA342" s="632"/>
      <c r="AB342" s="632"/>
      <c r="AC342" s="632"/>
      <c r="AD342" s="632">
        <f>CCBASE!$I$37*2</f>
        <v>240.12910599999998</v>
      </c>
    </row>
    <row r="343" spans="1:30" x14ac:dyDescent="0.2">
      <c r="A343" s="630" t="s">
        <v>760</v>
      </c>
      <c r="B343" s="630">
        <v>3000</v>
      </c>
      <c r="C343" s="630">
        <v>1500</v>
      </c>
      <c r="D343" s="630" t="str">
        <f t="shared" si="125"/>
        <v>CMWI30001500</v>
      </c>
      <c r="E343" s="1046">
        <f t="shared" si="133"/>
        <v>2314.7702540999999</v>
      </c>
      <c r="F343" s="631">
        <v>21</v>
      </c>
      <c r="G343" s="632">
        <f>F343*CCBASE!$B$51</f>
        <v>756</v>
      </c>
      <c r="H343" s="632">
        <f>CCBASE!$I$12*B343/1000</f>
        <v>358.95161190000005</v>
      </c>
      <c r="I343" s="632"/>
      <c r="J343" s="632"/>
      <c r="K343" s="632"/>
      <c r="L343" s="632">
        <f>CCBASE!$I$14*B343/1000</f>
        <v>628.12096199999996</v>
      </c>
      <c r="M343" s="632"/>
      <c r="N343" s="632"/>
      <c r="O343" s="632">
        <f>CCBASE!$I$45*B343/1000</f>
        <v>29.910000000000004</v>
      </c>
      <c r="P343" s="632"/>
      <c r="Q343" s="632">
        <f>CCBASE!$H$51</f>
        <v>5.16</v>
      </c>
      <c r="R343" s="632">
        <f>CCBASE!$I$4</f>
        <v>8.3986041999999994</v>
      </c>
      <c r="S343" s="632">
        <f>CCBASE!$I$8</f>
        <v>16.25526</v>
      </c>
      <c r="T343" s="632">
        <f>CCBASE!$I$44</f>
        <v>94.69</v>
      </c>
      <c r="U343" s="632"/>
      <c r="V343" s="632"/>
      <c r="W343" s="632">
        <f>CCBASE!$I$41*B343/1000</f>
        <v>177.15470999999999</v>
      </c>
      <c r="X343" s="632"/>
      <c r="Y343" s="632"/>
      <c r="Z343" s="632"/>
      <c r="AA343" s="632"/>
      <c r="AB343" s="632"/>
      <c r="AC343" s="632"/>
      <c r="AD343" s="632">
        <f>CCBASE!$I$37*2</f>
        <v>240.12910599999998</v>
      </c>
    </row>
    <row r="344" spans="1:30" x14ac:dyDescent="0.2">
      <c r="A344" s="630" t="s">
        <v>760</v>
      </c>
      <c r="B344" s="630">
        <v>1000</v>
      </c>
      <c r="C344" s="630">
        <v>1750</v>
      </c>
      <c r="D344" s="630" t="str">
        <f t="shared" ref="D344:D352" si="139">A344&amp;B344&amp;C344</f>
        <v>CMWI10001750</v>
      </c>
      <c r="E344" s="1046">
        <f t="shared" ref="E344:E352" si="140">SUM(G344:AD344)</f>
        <v>1526.4461054999999</v>
      </c>
      <c r="F344" s="631">
        <v>20</v>
      </c>
      <c r="G344" s="632">
        <f>F344*CCBASE!$B$51</f>
        <v>720</v>
      </c>
      <c r="H344" s="632">
        <f>CCBASE!$I$12*B344/1000</f>
        <v>119.65053730000001</v>
      </c>
      <c r="I344" s="632"/>
      <c r="J344" s="632"/>
      <c r="K344" s="632"/>
      <c r="L344" s="632">
        <f>CCBASE!$I$14*B344/1000</f>
        <v>209.37365399999999</v>
      </c>
      <c r="M344" s="632"/>
      <c r="N344" s="632"/>
      <c r="O344" s="632">
        <f>CCBASE!$I$45*B344/1000</f>
        <v>9.9700000000000006</v>
      </c>
      <c r="P344" s="632"/>
      <c r="Q344" s="632">
        <f>CCBASE!$H$51</f>
        <v>5.16</v>
      </c>
      <c r="R344" s="632">
        <f>CCBASE!$I$4</f>
        <v>8.3986041999999994</v>
      </c>
      <c r="S344" s="632">
        <f>CCBASE!$I$8</f>
        <v>16.25526</v>
      </c>
      <c r="T344" s="632">
        <f>CCBASE!$I$44</f>
        <v>94.69</v>
      </c>
      <c r="U344" s="631"/>
      <c r="V344" s="631"/>
      <c r="W344" s="632">
        <f>CCBASE!$I$42*B344/1000</f>
        <v>70.880589999999998</v>
      </c>
      <c r="X344" s="632"/>
      <c r="Y344" s="632"/>
      <c r="Z344" s="632"/>
      <c r="AA344" s="632"/>
      <c r="AB344" s="632"/>
      <c r="AC344" s="632"/>
      <c r="AD344" s="632">
        <f>CCBASE!$I$38*2</f>
        <v>272.06745999999998</v>
      </c>
    </row>
    <row r="345" spans="1:30" x14ac:dyDescent="0.2">
      <c r="A345" s="630" t="s">
        <v>760</v>
      </c>
      <c r="B345" s="630">
        <v>1250</v>
      </c>
      <c r="C345" s="630">
        <v>1750</v>
      </c>
      <c r="D345" s="630" t="str">
        <f t="shared" si="139"/>
        <v>CMWI12501750</v>
      </c>
      <c r="E345" s="1046">
        <f t="shared" si="140"/>
        <v>1628.9148008249999</v>
      </c>
      <c r="F345" s="631">
        <v>20</v>
      </c>
      <c r="G345" s="632">
        <f>F345*CCBASE!$B$51</f>
        <v>720</v>
      </c>
      <c r="H345" s="632">
        <f>CCBASE!$I$12*B345/1000</f>
        <v>149.56317162500002</v>
      </c>
      <c r="I345" s="632"/>
      <c r="J345" s="632"/>
      <c r="K345" s="632"/>
      <c r="L345" s="632">
        <f>CCBASE!$I$14*B345/1000</f>
        <v>261.71706749999998</v>
      </c>
      <c r="M345" s="632"/>
      <c r="N345" s="632"/>
      <c r="O345" s="632">
        <f>CCBASE!$I$45*B345/1000</f>
        <v>12.4625</v>
      </c>
      <c r="P345" s="632"/>
      <c r="Q345" s="632">
        <f>CCBASE!$H$51</f>
        <v>5.16</v>
      </c>
      <c r="R345" s="632">
        <f>CCBASE!$I$4</f>
        <v>8.3986041999999994</v>
      </c>
      <c r="S345" s="632">
        <f>CCBASE!$I$8</f>
        <v>16.25526</v>
      </c>
      <c r="T345" s="632">
        <f>CCBASE!$I$44</f>
        <v>94.69</v>
      </c>
      <c r="U345" s="631"/>
      <c r="V345" s="631"/>
      <c r="W345" s="632">
        <f>CCBASE!$I$42*B345/1000</f>
        <v>88.600737500000008</v>
      </c>
      <c r="X345" s="632"/>
      <c r="Y345" s="632"/>
      <c r="Z345" s="632"/>
      <c r="AA345" s="632"/>
      <c r="AB345" s="632"/>
      <c r="AC345" s="632"/>
      <c r="AD345" s="632">
        <f>CCBASE!$I$38*2</f>
        <v>272.06745999999998</v>
      </c>
    </row>
    <row r="346" spans="1:30" x14ac:dyDescent="0.2">
      <c r="A346" s="630" t="s">
        <v>760</v>
      </c>
      <c r="B346" s="630">
        <v>1500</v>
      </c>
      <c r="C346" s="630">
        <v>1750</v>
      </c>
      <c r="D346" s="630" t="str">
        <f t="shared" si="139"/>
        <v>CMWI15001750</v>
      </c>
      <c r="E346" s="1046">
        <f t="shared" si="140"/>
        <v>1731.3834961499999</v>
      </c>
      <c r="F346" s="631">
        <v>20</v>
      </c>
      <c r="G346" s="632">
        <f>F346*CCBASE!$B$51</f>
        <v>720</v>
      </c>
      <c r="H346" s="632">
        <f>CCBASE!$I$12*B346/1000</f>
        <v>179.47580595000002</v>
      </c>
      <c r="I346" s="632"/>
      <c r="J346" s="632"/>
      <c r="K346" s="632"/>
      <c r="L346" s="632">
        <f>CCBASE!$I$14*B346/1000</f>
        <v>314.06048099999998</v>
      </c>
      <c r="M346" s="632"/>
      <c r="N346" s="632"/>
      <c r="O346" s="632">
        <f>CCBASE!$I$45*B346/1000</f>
        <v>14.955000000000002</v>
      </c>
      <c r="P346" s="632"/>
      <c r="Q346" s="632">
        <f>CCBASE!$H$51</f>
        <v>5.16</v>
      </c>
      <c r="R346" s="632">
        <f>CCBASE!$I$4</f>
        <v>8.3986041999999994</v>
      </c>
      <c r="S346" s="632">
        <f>CCBASE!$I$8</f>
        <v>16.25526</v>
      </c>
      <c r="T346" s="632">
        <f>CCBASE!$I$44</f>
        <v>94.69</v>
      </c>
      <c r="U346" s="631"/>
      <c r="V346" s="631"/>
      <c r="W346" s="632">
        <f>CCBASE!$I$42*B346/1000</f>
        <v>106.32088499999999</v>
      </c>
      <c r="X346" s="632"/>
      <c r="Y346" s="632"/>
      <c r="Z346" s="632"/>
      <c r="AA346" s="632"/>
      <c r="AB346" s="632"/>
      <c r="AC346" s="632"/>
      <c r="AD346" s="632">
        <f>CCBASE!$I$38*2</f>
        <v>272.06745999999998</v>
      </c>
    </row>
    <row r="347" spans="1:30" x14ac:dyDescent="0.2">
      <c r="A347" s="630" t="s">
        <v>760</v>
      </c>
      <c r="B347" s="630">
        <v>1750</v>
      </c>
      <c r="C347" s="630">
        <v>1750</v>
      </c>
      <c r="D347" s="630" t="str">
        <f t="shared" si="139"/>
        <v>CMWI17501750</v>
      </c>
      <c r="E347" s="1046">
        <f t="shared" si="140"/>
        <v>1833.8521914749999</v>
      </c>
      <c r="F347" s="631">
        <v>20</v>
      </c>
      <c r="G347" s="632">
        <f>F347*CCBASE!$B$51</f>
        <v>720</v>
      </c>
      <c r="H347" s="632">
        <f>CCBASE!$I$12*B347/1000</f>
        <v>209.38844027500002</v>
      </c>
      <c r="I347" s="632"/>
      <c r="J347" s="632"/>
      <c r="K347" s="632"/>
      <c r="L347" s="632">
        <f>CCBASE!$I$14*B347/1000</f>
        <v>366.40389449999998</v>
      </c>
      <c r="M347" s="632"/>
      <c r="N347" s="632"/>
      <c r="O347" s="632">
        <f>CCBASE!$I$45*B347/1000</f>
        <v>17.447500000000002</v>
      </c>
      <c r="P347" s="632"/>
      <c r="Q347" s="632">
        <f>CCBASE!$H$51</f>
        <v>5.16</v>
      </c>
      <c r="R347" s="632">
        <f>CCBASE!$I$4</f>
        <v>8.3986041999999994</v>
      </c>
      <c r="S347" s="632">
        <f>CCBASE!$I$8</f>
        <v>16.25526</v>
      </c>
      <c r="T347" s="632">
        <f>CCBASE!$I$44</f>
        <v>94.69</v>
      </c>
      <c r="U347" s="631"/>
      <c r="V347" s="631"/>
      <c r="W347" s="632">
        <f>CCBASE!$I$42*B347/1000</f>
        <v>124.0410325</v>
      </c>
      <c r="X347" s="632"/>
      <c r="Y347" s="632"/>
      <c r="Z347" s="632"/>
      <c r="AA347" s="632"/>
      <c r="AB347" s="632"/>
      <c r="AC347" s="632"/>
      <c r="AD347" s="632">
        <f>CCBASE!$I$38*2</f>
        <v>272.06745999999998</v>
      </c>
    </row>
    <row r="348" spans="1:30" x14ac:dyDescent="0.2">
      <c r="A348" s="630" t="s">
        <v>760</v>
      </c>
      <c r="B348" s="630">
        <v>2000</v>
      </c>
      <c r="C348" s="630">
        <v>1750</v>
      </c>
      <c r="D348" s="630" t="str">
        <f t="shared" si="139"/>
        <v>CMWI20001750</v>
      </c>
      <c r="E348" s="1046">
        <f t="shared" si="140"/>
        <v>1936.3208867999999</v>
      </c>
      <c r="F348" s="631">
        <v>20</v>
      </c>
      <c r="G348" s="632">
        <f>F348*CCBASE!$B$51</f>
        <v>720</v>
      </c>
      <c r="H348" s="632">
        <f>CCBASE!$I$12*B348/1000</f>
        <v>239.30107460000002</v>
      </c>
      <c r="I348" s="632"/>
      <c r="J348" s="632"/>
      <c r="K348" s="632"/>
      <c r="L348" s="632">
        <f>CCBASE!$I$14*B348/1000</f>
        <v>418.74730799999998</v>
      </c>
      <c r="M348" s="632"/>
      <c r="N348" s="632"/>
      <c r="O348" s="632">
        <f>CCBASE!$I$45*B348/1000</f>
        <v>19.940000000000001</v>
      </c>
      <c r="P348" s="632"/>
      <c r="Q348" s="632">
        <f>CCBASE!$H$51</f>
        <v>5.16</v>
      </c>
      <c r="R348" s="632">
        <f>CCBASE!$I$4</f>
        <v>8.3986041999999994</v>
      </c>
      <c r="S348" s="632">
        <f>CCBASE!$I$8</f>
        <v>16.25526</v>
      </c>
      <c r="T348" s="632">
        <f>CCBASE!$I$44</f>
        <v>94.69</v>
      </c>
      <c r="U348" s="631"/>
      <c r="V348" s="631"/>
      <c r="W348" s="632">
        <f>CCBASE!$I$42*B348/1000</f>
        <v>141.76118</v>
      </c>
      <c r="X348" s="632"/>
      <c r="Y348" s="632"/>
      <c r="Z348" s="632"/>
      <c r="AA348" s="632"/>
      <c r="AB348" s="632"/>
      <c r="AC348" s="632"/>
      <c r="AD348" s="632">
        <f>CCBASE!$I$38*2</f>
        <v>272.06745999999998</v>
      </c>
    </row>
    <row r="349" spans="1:30" x14ac:dyDescent="0.2">
      <c r="A349" s="630" t="s">
        <v>760</v>
      </c>
      <c r="B349" s="630">
        <v>2250</v>
      </c>
      <c r="C349" s="630">
        <v>1750</v>
      </c>
      <c r="D349" s="630" t="str">
        <f t="shared" si="139"/>
        <v>CMWI22501750</v>
      </c>
      <c r="E349" s="1046">
        <f t="shared" si="140"/>
        <v>2074.7895821249995</v>
      </c>
      <c r="F349" s="631">
        <v>21</v>
      </c>
      <c r="G349" s="632">
        <f>F349*CCBASE!$B$51</f>
        <v>756</v>
      </c>
      <c r="H349" s="632">
        <f>CCBASE!$I$12*B349/1000</f>
        <v>269.21370892500005</v>
      </c>
      <c r="I349" s="632"/>
      <c r="J349" s="632"/>
      <c r="K349" s="632"/>
      <c r="L349" s="632">
        <f>CCBASE!$I$14*B349/1000</f>
        <v>471.09072149999997</v>
      </c>
      <c r="M349" s="632"/>
      <c r="N349" s="632"/>
      <c r="O349" s="632">
        <f>CCBASE!$I$45*B349/1000</f>
        <v>22.432500000000001</v>
      </c>
      <c r="P349" s="632"/>
      <c r="Q349" s="632">
        <f>CCBASE!$H$51</f>
        <v>5.16</v>
      </c>
      <c r="R349" s="632">
        <f>CCBASE!$I$4</f>
        <v>8.3986041999999994</v>
      </c>
      <c r="S349" s="632">
        <f>CCBASE!$I$8</f>
        <v>16.25526</v>
      </c>
      <c r="T349" s="632">
        <f>CCBASE!$I$44</f>
        <v>94.69</v>
      </c>
      <c r="U349" s="631"/>
      <c r="V349" s="631"/>
      <c r="W349" s="632">
        <f>CCBASE!$I$42*B349/1000</f>
        <v>159.48132749999999</v>
      </c>
      <c r="X349" s="632"/>
      <c r="Y349" s="632"/>
      <c r="Z349" s="632"/>
      <c r="AA349" s="632"/>
      <c r="AB349" s="632"/>
      <c r="AC349" s="632"/>
      <c r="AD349" s="632">
        <f>CCBASE!$I$38*2</f>
        <v>272.06745999999998</v>
      </c>
    </row>
    <row r="350" spans="1:30" x14ac:dyDescent="0.2">
      <c r="A350" s="630" t="s">
        <v>760</v>
      </c>
      <c r="B350" s="630">
        <v>2500</v>
      </c>
      <c r="C350" s="630">
        <v>1750</v>
      </c>
      <c r="D350" s="630" t="str">
        <f t="shared" si="139"/>
        <v>CMWI25001750</v>
      </c>
      <c r="E350" s="1046">
        <f t="shared" si="140"/>
        <v>2177.2582774499997</v>
      </c>
      <c r="F350" s="631">
        <v>21</v>
      </c>
      <c r="G350" s="632">
        <f>F350*CCBASE!$B$51</f>
        <v>756</v>
      </c>
      <c r="H350" s="632">
        <f>CCBASE!$I$12*B350/1000</f>
        <v>299.12634325000005</v>
      </c>
      <c r="I350" s="632"/>
      <c r="J350" s="632"/>
      <c r="K350" s="632"/>
      <c r="L350" s="632">
        <f>CCBASE!$I$14*B350/1000</f>
        <v>523.43413499999997</v>
      </c>
      <c r="M350" s="632"/>
      <c r="N350" s="632"/>
      <c r="O350" s="632">
        <f>CCBASE!$I$45*B350/1000</f>
        <v>24.925000000000001</v>
      </c>
      <c r="P350" s="632"/>
      <c r="Q350" s="632">
        <f>CCBASE!$H$51</f>
        <v>5.16</v>
      </c>
      <c r="R350" s="632">
        <f>CCBASE!$I$4</f>
        <v>8.3986041999999994</v>
      </c>
      <c r="S350" s="632">
        <f>CCBASE!$I$8</f>
        <v>16.25526</v>
      </c>
      <c r="T350" s="632">
        <f>CCBASE!$I$44</f>
        <v>94.69</v>
      </c>
      <c r="U350" s="631"/>
      <c r="V350" s="631"/>
      <c r="W350" s="632">
        <f>CCBASE!$I$42*B350/1000</f>
        <v>177.20147500000002</v>
      </c>
      <c r="X350" s="632"/>
      <c r="Y350" s="632"/>
      <c r="Z350" s="632"/>
      <c r="AA350" s="632"/>
      <c r="AB350" s="632"/>
      <c r="AC350" s="632"/>
      <c r="AD350" s="632">
        <f>CCBASE!$I$38*2</f>
        <v>272.06745999999998</v>
      </c>
    </row>
    <row r="351" spans="1:30" x14ac:dyDescent="0.2">
      <c r="A351" s="630" t="s">
        <v>760</v>
      </c>
      <c r="B351" s="630">
        <v>2750</v>
      </c>
      <c r="C351" s="630">
        <v>1750</v>
      </c>
      <c r="D351" s="630" t="str">
        <f t="shared" si="139"/>
        <v>CMWI27501750</v>
      </c>
      <c r="E351" s="1046">
        <f t="shared" si="140"/>
        <v>2279.7269727749999</v>
      </c>
      <c r="F351" s="631">
        <v>21</v>
      </c>
      <c r="G351" s="632">
        <f>F351*CCBASE!$B$51</f>
        <v>756</v>
      </c>
      <c r="H351" s="632">
        <f>CCBASE!$I$12*B351/1000</f>
        <v>329.03897757500005</v>
      </c>
      <c r="I351" s="632"/>
      <c r="J351" s="632"/>
      <c r="K351" s="632"/>
      <c r="L351" s="632">
        <f>CCBASE!$I$14*B351/1000</f>
        <v>575.77754849999997</v>
      </c>
      <c r="M351" s="632"/>
      <c r="N351" s="632"/>
      <c r="O351" s="632">
        <f>CCBASE!$I$45*B351/1000</f>
        <v>27.4175</v>
      </c>
      <c r="P351" s="632"/>
      <c r="Q351" s="632">
        <f>CCBASE!$H$51</f>
        <v>5.16</v>
      </c>
      <c r="R351" s="632">
        <f>CCBASE!$I$4</f>
        <v>8.3986041999999994</v>
      </c>
      <c r="S351" s="632">
        <f>CCBASE!$I$8</f>
        <v>16.25526</v>
      </c>
      <c r="T351" s="632">
        <f>CCBASE!$I$44</f>
        <v>94.69</v>
      </c>
      <c r="U351" s="631"/>
      <c r="V351" s="631"/>
      <c r="W351" s="632">
        <f>CCBASE!$I$42*B351/1000</f>
        <v>194.92162249999998</v>
      </c>
      <c r="X351" s="632"/>
      <c r="Y351" s="632"/>
      <c r="Z351" s="632"/>
      <c r="AA351" s="632"/>
      <c r="AB351" s="632"/>
      <c r="AC351" s="632"/>
      <c r="AD351" s="632">
        <f>CCBASE!$I$38*2</f>
        <v>272.06745999999998</v>
      </c>
    </row>
    <row r="352" spans="1:30" x14ac:dyDescent="0.2">
      <c r="A352" s="630" t="s">
        <v>760</v>
      </c>
      <c r="B352" s="630">
        <v>3000</v>
      </c>
      <c r="C352" s="630">
        <v>1750</v>
      </c>
      <c r="D352" s="630" t="str">
        <f t="shared" si="139"/>
        <v>CMWI30001750</v>
      </c>
      <c r="E352" s="1046">
        <f t="shared" si="140"/>
        <v>2382.1956681000001</v>
      </c>
      <c r="F352" s="631">
        <v>21</v>
      </c>
      <c r="G352" s="632">
        <f>F352*CCBASE!$B$51</f>
        <v>756</v>
      </c>
      <c r="H352" s="632">
        <f>CCBASE!$I$12*B352/1000</f>
        <v>358.95161190000005</v>
      </c>
      <c r="I352" s="632"/>
      <c r="J352" s="632"/>
      <c r="K352" s="632"/>
      <c r="L352" s="632">
        <f>CCBASE!$I$14*B352/1000</f>
        <v>628.12096199999996</v>
      </c>
      <c r="M352" s="632"/>
      <c r="N352" s="632"/>
      <c r="O352" s="632">
        <f>CCBASE!$I$45*B352/1000</f>
        <v>29.910000000000004</v>
      </c>
      <c r="P352" s="632"/>
      <c r="Q352" s="632">
        <f>CCBASE!$H$51</f>
        <v>5.16</v>
      </c>
      <c r="R352" s="632">
        <f>CCBASE!$I$4</f>
        <v>8.3986041999999994</v>
      </c>
      <c r="S352" s="632">
        <f>CCBASE!$I$8</f>
        <v>16.25526</v>
      </c>
      <c r="T352" s="632">
        <f>CCBASE!$I$44</f>
        <v>94.69</v>
      </c>
      <c r="U352" s="631"/>
      <c r="V352" s="631"/>
      <c r="W352" s="632">
        <f>CCBASE!$I$42*B352/1000</f>
        <v>212.64176999999998</v>
      </c>
      <c r="X352" s="632"/>
      <c r="Y352" s="632"/>
      <c r="Z352" s="632"/>
      <c r="AA352" s="632"/>
      <c r="AB352" s="632"/>
      <c r="AC352" s="632"/>
      <c r="AD352" s="632">
        <f>CCBASE!$I$38*2</f>
        <v>272.06745999999998</v>
      </c>
    </row>
    <row r="353" spans="1:30" x14ac:dyDescent="0.2">
      <c r="A353" s="630" t="s">
        <v>760</v>
      </c>
      <c r="B353" s="630">
        <v>1000</v>
      </c>
      <c r="C353" s="630">
        <v>2000</v>
      </c>
      <c r="D353" s="630" t="str">
        <f t="shared" si="125"/>
        <v>CMWI10002000</v>
      </c>
      <c r="E353" s="1046">
        <f t="shared" si="133"/>
        <v>1544.1896354999999</v>
      </c>
      <c r="F353" s="631">
        <v>20</v>
      </c>
      <c r="G353" s="632">
        <f>F353*CCBASE!$B$51</f>
        <v>720</v>
      </c>
      <c r="H353" s="632">
        <f>CCBASE!$I$12*B353/1000</f>
        <v>119.65053730000001</v>
      </c>
      <c r="I353" s="632"/>
      <c r="J353" s="632"/>
      <c r="K353" s="632"/>
      <c r="L353" s="632">
        <f>CCBASE!$I$14*B353/1000</f>
        <v>209.37365399999999</v>
      </c>
      <c r="M353" s="632"/>
      <c r="N353" s="632"/>
      <c r="O353" s="632">
        <f>CCBASE!$I$45*B353/1000</f>
        <v>9.9700000000000006</v>
      </c>
      <c r="P353" s="632"/>
      <c r="Q353" s="632">
        <f>CCBASE!$H$51</f>
        <v>5.16</v>
      </c>
      <c r="R353" s="632">
        <f>CCBASE!$I$4</f>
        <v>8.3986041999999994</v>
      </c>
      <c r="S353" s="632">
        <f>CCBASE!$I$8</f>
        <v>16.25526</v>
      </c>
      <c r="T353" s="632">
        <f>CCBASE!$I$44</f>
        <v>94.69</v>
      </c>
      <c r="U353" s="631"/>
      <c r="V353" s="631"/>
      <c r="W353" s="632">
        <f>CCBASE!$I$43*B353/1000</f>
        <v>88.624119999999991</v>
      </c>
      <c r="X353" s="632"/>
      <c r="Y353" s="632"/>
      <c r="Z353" s="632"/>
      <c r="AA353" s="632"/>
      <c r="AB353" s="632"/>
      <c r="AC353" s="632"/>
      <c r="AD353" s="632">
        <f>CCBASE!$I$38*2</f>
        <v>272.06745999999998</v>
      </c>
    </row>
    <row r="354" spans="1:30" x14ac:dyDescent="0.2">
      <c r="A354" s="630" t="s">
        <v>760</v>
      </c>
      <c r="B354" s="630">
        <v>1250</v>
      </c>
      <c r="C354" s="630">
        <v>2000</v>
      </c>
      <c r="D354" s="630" t="str">
        <f t="shared" ref="D354" si="141">A354&amp;B354&amp;C354</f>
        <v>CMWI12502000</v>
      </c>
      <c r="E354" s="1046">
        <f t="shared" si="133"/>
        <v>1651.0942133250001</v>
      </c>
      <c r="F354" s="631">
        <v>20</v>
      </c>
      <c r="G354" s="632">
        <f>F354*CCBASE!$B$51</f>
        <v>720</v>
      </c>
      <c r="H354" s="632">
        <f>CCBASE!$I$12*B354/1000</f>
        <v>149.56317162500002</v>
      </c>
      <c r="I354" s="632"/>
      <c r="J354" s="632"/>
      <c r="K354" s="632"/>
      <c r="L354" s="632">
        <f>CCBASE!$I$14*B354/1000</f>
        <v>261.71706749999998</v>
      </c>
      <c r="M354" s="632"/>
      <c r="N354" s="632"/>
      <c r="O354" s="632">
        <f>CCBASE!$I$45*B354/1000</f>
        <v>12.4625</v>
      </c>
      <c r="P354" s="632"/>
      <c r="Q354" s="632">
        <f>CCBASE!$H$51</f>
        <v>5.16</v>
      </c>
      <c r="R354" s="632">
        <f>CCBASE!$I$4</f>
        <v>8.3986041999999994</v>
      </c>
      <c r="S354" s="632">
        <f>CCBASE!$I$8</f>
        <v>16.25526</v>
      </c>
      <c r="T354" s="632">
        <f>CCBASE!$I$44</f>
        <v>94.69</v>
      </c>
      <c r="U354" s="631"/>
      <c r="V354" s="631"/>
      <c r="W354" s="632">
        <f>CCBASE!$I$43*B354/1000</f>
        <v>110.78014999999999</v>
      </c>
      <c r="X354" s="632"/>
      <c r="Y354" s="632"/>
      <c r="Z354" s="632"/>
      <c r="AA354" s="632"/>
      <c r="AB354" s="632"/>
      <c r="AC354" s="632"/>
      <c r="AD354" s="632">
        <f>CCBASE!$I$38*2</f>
        <v>272.06745999999998</v>
      </c>
    </row>
    <row r="355" spans="1:30" x14ac:dyDescent="0.2">
      <c r="A355" s="630" t="s">
        <v>760</v>
      </c>
      <c r="B355" s="630">
        <v>1500</v>
      </c>
      <c r="C355" s="630">
        <v>2000</v>
      </c>
      <c r="D355" s="630" t="str">
        <f t="shared" si="125"/>
        <v>CMWI15002000</v>
      </c>
      <c r="E355" s="1046">
        <f t="shared" si="133"/>
        <v>1757.9987911499998</v>
      </c>
      <c r="F355" s="631">
        <v>20</v>
      </c>
      <c r="G355" s="632">
        <f>F355*CCBASE!$B$51</f>
        <v>720</v>
      </c>
      <c r="H355" s="632">
        <f>CCBASE!$I$12*B355/1000</f>
        <v>179.47580595000002</v>
      </c>
      <c r="I355" s="632"/>
      <c r="J355" s="632"/>
      <c r="K355" s="632"/>
      <c r="L355" s="632">
        <f>CCBASE!$I$14*B355/1000</f>
        <v>314.06048099999998</v>
      </c>
      <c r="M355" s="632"/>
      <c r="N355" s="632"/>
      <c r="O355" s="632">
        <f>CCBASE!$I$45*B355/1000</f>
        <v>14.955000000000002</v>
      </c>
      <c r="P355" s="632"/>
      <c r="Q355" s="632">
        <f>CCBASE!$H$51</f>
        <v>5.16</v>
      </c>
      <c r="R355" s="632">
        <f>CCBASE!$I$4</f>
        <v>8.3986041999999994</v>
      </c>
      <c r="S355" s="632">
        <f>CCBASE!$I$8</f>
        <v>16.25526</v>
      </c>
      <c r="T355" s="632">
        <f>CCBASE!$I$44</f>
        <v>94.69</v>
      </c>
      <c r="U355" s="631"/>
      <c r="V355" s="631"/>
      <c r="W355" s="632">
        <f>CCBASE!$I$43*B355/1000</f>
        <v>132.93617999999998</v>
      </c>
      <c r="X355" s="632"/>
      <c r="Y355" s="632"/>
      <c r="Z355" s="632"/>
      <c r="AA355" s="632"/>
      <c r="AB355" s="632"/>
      <c r="AC355" s="632"/>
      <c r="AD355" s="632">
        <f>CCBASE!$I$38*2</f>
        <v>272.06745999999998</v>
      </c>
    </row>
    <row r="356" spans="1:30" x14ac:dyDescent="0.2">
      <c r="A356" s="630" t="s">
        <v>760</v>
      </c>
      <c r="B356" s="630">
        <v>1750</v>
      </c>
      <c r="C356" s="630">
        <v>2000</v>
      </c>
      <c r="D356" s="630" t="str">
        <f t="shared" ref="D356" si="142">A356&amp;B356&amp;C356</f>
        <v>CMWI17502000</v>
      </c>
      <c r="E356" s="1046">
        <f t="shared" si="133"/>
        <v>1864.9033689749999</v>
      </c>
      <c r="F356" s="631">
        <v>20</v>
      </c>
      <c r="G356" s="632">
        <f>F356*CCBASE!$B$51</f>
        <v>720</v>
      </c>
      <c r="H356" s="632">
        <f>CCBASE!$I$12*B356/1000</f>
        <v>209.38844027500002</v>
      </c>
      <c r="I356" s="632"/>
      <c r="J356" s="632"/>
      <c r="K356" s="632"/>
      <c r="L356" s="632">
        <f>CCBASE!$I$14*B356/1000</f>
        <v>366.40389449999998</v>
      </c>
      <c r="M356" s="632"/>
      <c r="N356" s="632"/>
      <c r="O356" s="632">
        <f>CCBASE!$I$45*B356/1000</f>
        <v>17.447500000000002</v>
      </c>
      <c r="P356" s="632"/>
      <c r="Q356" s="632">
        <f>CCBASE!$H$51</f>
        <v>5.16</v>
      </c>
      <c r="R356" s="632">
        <f>CCBASE!$I$4</f>
        <v>8.3986041999999994</v>
      </c>
      <c r="S356" s="632">
        <f>CCBASE!$I$8</f>
        <v>16.25526</v>
      </c>
      <c r="T356" s="632">
        <f>CCBASE!$I$44</f>
        <v>94.69</v>
      </c>
      <c r="U356" s="631"/>
      <c r="V356" s="631"/>
      <c r="W356" s="632">
        <f>CCBASE!$I$43*B356/1000</f>
        <v>155.09220999999999</v>
      </c>
      <c r="X356" s="632"/>
      <c r="Y356" s="632"/>
      <c r="Z356" s="632"/>
      <c r="AA356" s="632"/>
      <c r="AB356" s="632"/>
      <c r="AC356" s="632"/>
      <c r="AD356" s="632">
        <f>CCBASE!$I$38*2</f>
        <v>272.06745999999998</v>
      </c>
    </row>
    <row r="357" spans="1:30" x14ac:dyDescent="0.2">
      <c r="A357" s="630" t="s">
        <v>760</v>
      </c>
      <c r="B357" s="630">
        <v>2000</v>
      </c>
      <c r="C357" s="630">
        <v>2000</v>
      </c>
      <c r="D357" s="630" t="str">
        <f t="shared" si="125"/>
        <v>CMWI20002000</v>
      </c>
      <c r="E357" s="1046">
        <f t="shared" si="133"/>
        <v>1971.8079467999999</v>
      </c>
      <c r="F357" s="631">
        <v>20</v>
      </c>
      <c r="G357" s="632">
        <f>F357*CCBASE!$B$51</f>
        <v>720</v>
      </c>
      <c r="H357" s="632">
        <f>CCBASE!$I$12*B357/1000</f>
        <v>239.30107460000002</v>
      </c>
      <c r="I357" s="632"/>
      <c r="J357" s="632"/>
      <c r="K357" s="632"/>
      <c r="L357" s="632">
        <f>CCBASE!$I$14*B357/1000</f>
        <v>418.74730799999998</v>
      </c>
      <c r="M357" s="632"/>
      <c r="N357" s="632"/>
      <c r="O357" s="632">
        <f>CCBASE!$I$45*B357/1000</f>
        <v>19.940000000000001</v>
      </c>
      <c r="P357" s="632"/>
      <c r="Q357" s="632">
        <f>CCBASE!$H$51</f>
        <v>5.16</v>
      </c>
      <c r="R357" s="632">
        <f>CCBASE!$I$4</f>
        <v>8.3986041999999994</v>
      </c>
      <c r="S357" s="632">
        <f>CCBASE!$I$8</f>
        <v>16.25526</v>
      </c>
      <c r="T357" s="632">
        <f>CCBASE!$I$44</f>
        <v>94.69</v>
      </c>
      <c r="U357" s="631"/>
      <c r="V357" s="631"/>
      <c r="W357" s="632">
        <f>CCBASE!$I$43*B357/1000</f>
        <v>177.24823999999998</v>
      </c>
      <c r="X357" s="632"/>
      <c r="Y357" s="632"/>
      <c r="Z357" s="632"/>
      <c r="AA357" s="632"/>
      <c r="AB357" s="632"/>
      <c r="AC357" s="632"/>
      <c r="AD357" s="632">
        <f>CCBASE!$I$38*2</f>
        <v>272.06745999999998</v>
      </c>
    </row>
    <row r="358" spans="1:30" x14ac:dyDescent="0.2">
      <c r="A358" s="630" t="s">
        <v>760</v>
      </c>
      <c r="B358" s="630">
        <v>2250</v>
      </c>
      <c r="C358" s="630">
        <v>2000</v>
      </c>
      <c r="D358" s="630" t="str">
        <f t="shared" ref="D358" si="143">A358&amp;B358&amp;C358</f>
        <v>CMWI22502000</v>
      </c>
      <c r="E358" s="1046">
        <f t="shared" si="133"/>
        <v>2114.7125246249998</v>
      </c>
      <c r="F358" s="631">
        <v>21</v>
      </c>
      <c r="G358" s="632">
        <f>F358*CCBASE!$B$51</f>
        <v>756</v>
      </c>
      <c r="H358" s="632">
        <f>CCBASE!$I$12*B358/1000</f>
        <v>269.21370892500005</v>
      </c>
      <c r="I358" s="632"/>
      <c r="J358" s="632"/>
      <c r="K358" s="632"/>
      <c r="L358" s="632">
        <f>CCBASE!$I$14*B358/1000</f>
        <v>471.09072149999997</v>
      </c>
      <c r="M358" s="632"/>
      <c r="N358" s="632"/>
      <c r="O358" s="632">
        <f>CCBASE!$I$45*B358/1000</f>
        <v>22.432500000000001</v>
      </c>
      <c r="P358" s="632"/>
      <c r="Q358" s="632">
        <f>CCBASE!$H$51</f>
        <v>5.16</v>
      </c>
      <c r="R358" s="632">
        <f>CCBASE!$I$4</f>
        <v>8.3986041999999994</v>
      </c>
      <c r="S358" s="632">
        <f>CCBASE!$I$8</f>
        <v>16.25526</v>
      </c>
      <c r="T358" s="632">
        <f>CCBASE!$I$44</f>
        <v>94.69</v>
      </c>
      <c r="U358" s="631"/>
      <c r="V358" s="631"/>
      <c r="W358" s="632">
        <f>CCBASE!$I$43*B358/1000</f>
        <v>199.40427</v>
      </c>
      <c r="X358" s="632"/>
      <c r="Y358" s="632"/>
      <c r="Z358" s="632"/>
      <c r="AA358" s="632"/>
      <c r="AB358" s="632"/>
      <c r="AC358" s="632"/>
      <c r="AD358" s="632">
        <f>CCBASE!$I$38*2</f>
        <v>272.06745999999998</v>
      </c>
    </row>
    <row r="359" spans="1:30" x14ac:dyDescent="0.2">
      <c r="A359" s="630" t="s">
        <v>760</v>
      </c>
      <c r="B359" s="630">
        <v>2500</v>
      </c>
      <c r="C359" s="630">
        <v>2000</v>
      </c>
      <c r="D359" s="630" t="str">
        <f t="shared" si="125"/>
        <v>CMWI25002000</v>
      </c>
      <c r="E359" s="1046">
        <f t="shared" si="133"/>
        <v>2221.6171024499999</v>
      </c>
      <c r="F359" s="631">
        <v>21</v>
      </c>
      <c r="G359" s="632">
        <f>F359*CCBASE!$B$51</f>
        <v>756</v>
      </c>
      <c r="H359" s="632">
        <f>CCBASE!$I$12*B359/1000</f>
        <v>299.12634325000005</v>
      </c>
      <c r="I359" s="632"/>
      <c r="J359" s="632"/>
      <c r="K359" s="632"/>
      <c r="L359" s="632">
        <f>CCBASE!$I$14*B359/1000</f>
        <v>523.43413499999997</v>
      </c>
      <c r="M359" s="632"/>
      <c r="N359" s="632"/>
      <c r="O359" s="632">
        <f>CCBASE!$I$45*B359/1000</f>
        <v>24.925000000000001</v>
      </c>
      <c r="P359" s="632"/>
      <c r="Q359" s="632">
        <f>CCBASE!$H$51</f>
        <v>5.16</v>
      </c>
      <c r="R359" s="632">
        <f>CCBASE!$I$4</f>
        <v>8.3986041999999994</v>
      </c>
      <c r="S359" s="632">
        <f>CCBASE!$I$8</f>
        <v>16.25526</v>
      </c>
      <c r="T359" s="632">
        <f>CCBASE!$I$44</f>
        <v>94.69</v>
      </c>
      <c r="U359" s="631"/>
      <c r="V359" s="631"/>
      <c r="W359" s="632">
        <f>CCBASE!$I$43*B359/1000</f>
        <v>221.56029999999998</v>
      </c>
      <c r="X359" s="632"/>
      <c r="Y359" s="632"/>
      <c r="Z359" s="632"/>
      <c r="AA359" s="632"/>
      <c r="AB359" s="632"/>
      <c r="AC359" s="632"/>
      <c r="AD359" s="632">
        <f>CCBASE!$I$38*2</f>
        <v>272.06745999999998</v>
      </c>
    </row>
    <row r="360" spans="1:30" x14ac:dyDescent="0.2">
      <c r="A360" s="630" t="s">
        <v>760</v>
      </c>
      <c r="B360" s="630">
        <v>2750</v>
      </c>
      <c r="C360" s="630">
        <v>2000</v>
      </c>
      <c r="D360" s="630" t="str">
        <f t="shared" ref="D360" si="144">A360&amp;B360&amp;C360</f>
        <v>CMWI27502000</v>
      </c>
      <c r="E360" s="1046">
        <f t="shared" si="133"/>
        <v>2328.5216802750001</v>
      </c>
      <c r="F360" s="631">
        <v>21</v>
      </c>
      <c r="G360" s="632">
        <f>F360*CCBASE!$B$51</f>
        <v>756</v>
      </c>
      <c r="H360" s="632">
        <f>CCBASE!$I$12*B360/1000</f>
        <v>329.03897757500005</v>
      </c>
      <c r="I360" s="632"/>
      <c r="J360" s="632"/>
      <c r="K360" s="632"/>
      <c r="L360" s="632">
        <f>CCBASE!$I$14*B360/1000</f>
        <v>575.77754849999997</v>
      </c>
      <c r="M360" s="632"/>
      <c r="N360" s="632"/>
      <c r="O360" s="632">
        <f>CCBASE!$I$45*B360/1000</f>
        <v>27.4175</v>
      </c>
      <c r="P360" s="632"/>
      <c r="Q360" s="632">
        <f>CCBASE!$H$51</f>
        <v>5.16</v>
      </c>
      <c r="R360" s="632">
        <f>CCBASE!$I$4</f>
        <v>8.3986041999999994</v>
      </c>
      <c r="S360" s="632">
        <f>CCBASE!$I$8</f>
        <v>16.25526</v>
      </c>
      <c r="T360" s="632">
        <f>CCBASE!$I$44</f>
        <v>94.69</v>
      </c>
      <c r="U360" s="631"/>
      <c r="V360" s="631"/>
      <c r="W360" s="632">
        <f>CCBASE!$I$43*B360/1000</f>
        <v>243.71633</v>
      </c>
      <c r="X360" s="632"/>
      <c r="Y360" s="632"/>
      <c r="Z360" s="632"/>
      <c r="AA360" s="632"/>
      <c r="AB360" s="632"/>
      <c r="AC360" s="632"/>
      <c r="AD360" s="632">
        <f>CCBASE!$I$38*2</f>
        <v>272.06745999999998</v>
      </c>
    </row>
    <row r="361" spans="1:30" x14ac:dyDescent="0.2">
      <c r="A361" s="630" t="s">
        <v>760</v>
      </c>
      <c r="B361" s="630">
        <v>3000</v>
      </c>
      <c r="C361" s="630">
        <v>2000</v>
      </c>
      <c r="D361" s="630" t="str">
        <f t="shared" si="125"/>
        <v>CMWI30002000</v>
      </c>
      <c r="E361" s="1046">
        <f t="shared" si="133"/>
        <v>2435.4262581000003</v>
      </c>
      <c r="F361" s="631">
        <v>21</v>
      </c>
      <c r="G361" s="632">
        <f>F361*CCBASE!$B$51</f>
        <v>756</v>
      </c>
      <c r="H361" s="632">
        <f>CCBASE!$I$12*B361/1000</f>
        <v>358.95161190000005</v>
      </c>
      <c r="I361" s="632"/>
      <c r="J361" s="632"/>
      <c r="K361" s="632"/>
      <c r="L361" s="632">
        <f>CCBASE!$I$14*B361/1000</f>
        <v>628.12096199999996</v>
      </c>
      <c r="M361" s="632"/>
      <c r="N361" s="632"/>
      <c r="O361" s="632">
        <f>CCBASE!$I$45*B361/1000</f>
        <v>29.910000000000004</v>
      </c>
      <c r="P361" s="632"/>
      <c r="Q361" s="632">
        <f>CCBASE!$H$51</f>
        <v>5.16</v>
      </c>
      <c r="R361" s="632">
        <f>CCBASE!$I$4</f>
        <v>8.3986041999999994</v>
      </c>
      <c r="S361" s="632">
        <f>CCBASE!$I$8</f>
        <v>16.25526</v>
      </c>
      <c r="T361" s="632">
        <f>CCBASE!$I$44</f>
        <v>94.69</v>
      </c>
      <c r="U361" s="631"/>
      <c r="V361" s="631"/>
      <c r="W361" s="632">
        <f>CCBASE!$I$43*B361/1000</f>
        <v>265.87235999999996</v>
      </c>
      <c r="X361" s="632"/>
      <c r="Y361" s="632"/>
      <c r="Z361" s="632"/>
      <c r="AA361" s="632"/>
      <c r="AB361" s="632"/>
      <c r="AC361" s="632"/>
      <c r="AD361" s="632">
        <f>CCBASE!$I$38*2</f>
        <v>272.06745999999998</v>
      </c>
    </row>
    <row r="362" spans="1:30" x14ac:dyDescent="0.2">
      <c r="A362" s="630" t="s">
        <v>188</v>
      </c>
      <c r="B362" s="630">
        <v>1000</v>
      </c>
      <c r="C362" s="630">
        <v>1000</v>
      </c>
      <c r="D362" s="630" t="str">
        <f t="shared" ref="D362:D397" si="145">A362&amp;B362&amp;C362</f>
        <v>CV-W-MUAP10001000</v>
      </c>
      <c r="E362" s="1046">
        <f t="shared" si="133"/>
        <v>1583.2254014999999</v>
      </c>
      <c r="F362" s="631">
        <v>20</v>
      </c>
      <c r="G362" s="632">
        <f>F362*CCBASE!$B$51</f>
        <v>720</v>
      </c>
      <c r="H362" s="632">
        <f>CCBASE!$I$12*B362/1000</f>
        <v>119.65053730000001</v>
      </c>
      <c r="I362" s="632"/>
      <c r="J362" s="632"/>
      <c r="K362" s="632"/>
      <c r="L362" s="632">
        <f>CCBASE!$I$14*B362/1000</f>
        <v>209.37365399999999</v>
      </c>
      <c r="M362" s="632"/>
      <c r="N362" s="632"/>
      <c r="O362" s="632">
        <f>CCBASE!$I$45*B362/1000</f>
        <v>9.9700000000000006</v>
      </c>
      <c r="P362" s="632"/>
      <c r="Q362" s="632">
        <f>CCBASE!$H$51</f>
        <v>5.16</v>
      </c>
      <c r="R362" s="632">
        <f>CCBASE!$I$4</f>
        <v>8.3986041999999994</v>
      </c>
      <c r="S362" s="632">
        <f>CCBASE!$I$8</f>
        <v>16.25526</v>
      </c>
      <c r="T362" s="632">
        <f>CCBASE!$I$44</f>
        <v>94.69</v>
      </c>
      <c r="U362" s="631"/>
      <c r="V362" s="631"/>
      <c r="W362" s="632">
        <f>CCBASE!$I$43*B362/1000</f>
        <v>88.624119999999991</v>
      </c>
      <c r="X362" s="632"/>
      <c r="Y362" s="632"/>
      <c r="Z362" s="632"/>
      <c r="AA362" s="632"/>
      <c r="AB362" s="632"/>
      <c r="AC362" s="632"/>
      <c r="AD362" s="632">
        <f>CCBASE!$I$39*2</f>
        <v>311.10322599999995</v>
      </c>
    </row>
    <row r="363" spans="1:30" x14ac:dyDescent="0.2">
      <c r="A363" s="630" t="s">
        <v>188</v>
      </c>
      <c r="B363" s="630">
        <v>1250</v>
      </c>
      <c r="C363" s="630">
        <v>1000</v>
      </c>
      <c r="D363" s="630" t="str">
        <f t="shared" ref="D363" si="146">A363&amp;B363&amp;C363</f>
        <v>CV-W-MUAP12501000</v>
      </c>
      <c r="E363" s="1046">
        <f t="shared" si="133"/>
        <v>1667.9505668249999</v>
      </c>
      <c r="F363" s="631">
        <v>20</v>
      </c>
      <c r="G363" s="632">
        <f>F363*CCBASE!$B$51</f>
        <v>720</v>
      </c>
      <c r="H363" s="632">
        <f>CCBASE!$I$12*B363/1000</f>
        <v>149.56317162500002</v>
      </c>
      <c r="I363" s="632"/>
      <c r="J363" s="632"/>
      <c r="K363" s="632"/>
      <c r="L363" s="632">
        <f>CCBASE!$I$14*B363/1000</f>
        <v>261.71706749999998</v>
      </c>
      <c r="M363" s="632"/>
      <c r="N363" s="632"/>
      <c r="O363" s="632">
        <f>CCBASE!$I$45*B363/1000</f>
        <v>12.4625</v>
      </c>
      <c r="P363" s="632"/>
      <c r="Q363" s="632">
        <f>CCBASE!$H$51</f>
        <v>5.16</v>
      </c>
      <c r="R363" s="632">
        <f>CCBASE!$I$4</f>
        <v>8.3986041999999994</v>
      </c>
      <c r="S363" s="632">
        <f>CCBASE!$I$8</f>
        <v>16.25526</v>
      </c>
      <c r="T363" s="632">
        <f>CCBASE!$I$44</f>
        <v>94.69</v>
      </c>
      <c r="U363" s="631"/>
      <c r="V363" s="631"/>
      <c r="W363" s="632">
        <f>CCBASE!$I$42*B363/1000</f>
        <v>88.600737500000008</v>
      </c>
      <c r="X363" s="632"/>
      <c r="Y363" s="632"/>
      <c r="Z363" s="632"/>
      <c r="AA363" s="632"/>
      <c r="AB363" s="632"/>
      <c r="AC363" s="632"/>
      <c r="AD363" s="632">
        <f>CCBASE!$I$39*2</f>
        <v>311.10322599999995</v>
      </c>
    </row>
    <row r="364" spans="1:30" x14ac:dyDescent="0.2">
      <c r="A364" s="630" t="s">
        <v>188</v>
      </c>
      <c r="B364" s="630">
        <v>1500</v>
      </c>
      <c r="C364" s="630">
        <v>1000</v>
      </c>
      <c r="D364" s="630" t="str">
        <f t="shared" si="145"/>
        <v>CV-W-MUAP15001000</v>
      </c>
      <c r="E364" s="1046">
        <f t="shared" si="133"/>
        <v>1770.4192621499999</v>
      </c>
      <c r="F364" s="631">
        <v>20</v>
      </c>
      <c r="G364" s="632">
        <f>F364*CCBASE!$B$51</f>
        <v>720</v>
      </c>
      <c r="H364" s="632">
        <f>CCBASE!$I$12*B364/1000</f>
        <v>179.47580595000002</v>
      </c>
      <c r="I364" s="632"/>
      <c r="J364" s="632"/>
      <c r="K364" s="632"/>
      <c r="L364" s="632">
        <f>CCBASE!$I$14*B364/1000</f>
        <v>314.06048099999998</v>
      </c>
      <c r="M364" s="632"/>
      <c r="N364" s="632"/>
      <c r="O364" s="632">
        <f>CCBASE!$I$45*B364/1000</f>
        <v>14.955000000000002</v>
      </c>
      <c r="P364" s="632"/>
      <c r="Q364" s="632">
        <f>CCBASE!$H$51</f>
        <v>5.16</v>
      </c>
      <c r="R364" s="632">
        <f>CCBASE!$I$4</f>
        <v>8.3986041999999994</v>
      </c>
      <c r="S364" s="632">
        <f>CCBASE!$I$8</f>
        <v>16.25526</v>
      </c>
      <c r="T364" s="632">
        <f>CCBASE!$I$44</f>
        <v>94.69</v>
      </c>
      <c r="U364" s="631"/>
      <c r="V364" s="631"/>
      <c r="W364" s="632">
        <f>CCBASE!$I$42*B364/1000</f>
        <v>106.32088499999999</v>
      </c>
      <c r="X364" s="632"/>
      <c r="Y364" s="632"/>
      <c r="Z364" s="632"/>
      <c r="AA364" s="632"/>
      <c r="AB364" s="632"/>
      <c r="AC364" s="632"/>
      <c r="AD364" s="632">
        <f>CCBASE!$I$39*2</f>
        <v>311.10322599999995</v>
      </c>
    </row>
    <row r="365" spans="1:30" x14ac:dyDescent="0.2">
      <c r="A365" s="630" t="s">
        <v>188</v>
      </c>
      <c r="B365" s="630">
        <v>1750</v>
      </c>
      <c r="C365" s="630">
        <v>1000</v>
      </c>
      <c r="D365" s="630" t="str">
        <f t="shared" ref="D365" si="147">A365&amp;B365&amp;C365</f>
        <v>CV-W-MUAP17501000</v>
      </c>
      <c r="E365" s="1046">
        <f t="shared" si="133"/>
        <v>1872.8879574749999</v>
      </c>
      <c r="F365" s="631">
        <v>20</v>
      </c>
      <c r="G365" s="632">
        <f>F365*CCBASE!$B$51</f>
        <v>720</v>
      </c>
      <c r="H365" s="632">
        <f>CCBASE!$I$12*B365/1000</f>
        <v>209.38844027500002</v>
      </c>
      <c r="I365" s="632"/>
      <c r="J365" s="632"/>
      <c r="K365" s="632"/>
      <c r="L365" s="632">
        <f>CCBASE!$I$14*B365/1000</f>
        <v>366.40389449999998</v>
      </c>
      <c r="M365" s="632"/>
      <c r="N365" s="632"/>
      <c r="O365" s="632">
        <f>CCBASE!$I$45*B365/1000</f>
        <v>17.447500000000002</v>
      </c>
      <c r="P365" s="632"/>
      <c r="Q365" s="632">
        <f>CCBASE!$H$51</f>
        <v>5.16</v>
      </c>
      <c r="R365" s="632">
        <f>CCBASE!$I$4</f>
        <v>8.3986041999999994</v>
      </c>
      <c r="S365" s="632">
        <f>CCBASE!$I$8</f>
        <v>16.25526</v>
      </c>
      <c r="T365" s="632">
        <f>CCBASE!$I$44</f>
        <v>94.69</v>
      </c>
      <c r="U365" s="631"/>
      <c r="V365" s="631"/>
      <c r="W365" s="632">
        <f>CCBASE!$I$42*B365/1000</f>
        <v>124.0410325</v>
      </c>
      <c r="X365" s="632"/>
      <c r="Y365" s="632"/>
      <c r="Z365" s="632"/>
      <c r="AA365" s="632"/>
      <c r="AB365" s="632"/>
      <c r="AC365" s="632"/>
      <c r="AD365" s="632">
        <f>CCBASE!$I$39*2</f>
        <v>311.10322599999995</v>
      </c>
    </row>
    <row r="366" spans="1:30" x14ac:dyDescent="0.2">
      <c r="A366" s="630" t="s">
        <v>188</v>
      </c>
      <c r="B366" s="630">
        <v>2000</v>
      </c>
      <c r="C366" s="630">
        <v>1000</v>
      </c>
      <c r="D366" s="630" t="str">
        <f t="shared" si="145"/>
        <v>CV-W-MUAP20001000</v>
      </c>
      <c r="E366" s="1046">
        <f t="shared" si="133"/>
        <v>1975.3566527999999</v>
      </c>
      <c r="F366" s="631">
        <v>20</v>
      </c>
      <c r="G366" s="632">
        <f>F366*CCBASE!$B$51</f>
        <v>720</v>
      </c>
      <c r="H366" s="632">
        <f>CCBASE!$I$12*B366/1000</f>
        <v>239.30107460000002</v>
      </c>
      <c r="I366" s="632"/>
      <c r="J366" s="632"/>
      <c r="K366" s="632"/>
      <c r="L366" s="632">
        <f>CCBASE!$I$14*B366/1000</f>
        <v>418.74730799999998</v>
      </c>
      <c r="M366" s="632"/>
      <c r="N366" s="632"/>
      <c r="O366" s="632">
        <f>CCBASE!$I$45*B366/1000</f>
        <v>19.940000000000001</v>
      </c>
      <c r="P366" s="632"/>
      <c r="Q366" s="632">
        <f>CCBASE!$H$51</f>
        <v>5.16</v>
      </c>
      <c r="R366" s="632">
        <f>CCBASE!$I$4</f>
        <v>8.3986041999999994</v>
      </c>
      <c r="S366" s="632">
        <f>CCBASE!$I$8</f>
        <v>16.25526</v>
      </c>
      <c r="T366" s="632">
        <f>CCBASE!$I$44</f>
        <v>94.69</v>
      </c>
      <c r="U366" s="631"/>
      <c r="V366" s="631"/>
      <c r="W366" s="632">
        <f>CCBASE!$I$42*B366/1000</f>
        <v>141.76118</v>
      </c>
      <c r="X366" s="632"/>
      <c r="Y366" s="632"/>
      <c r="Z366" s="632"/>
      <c r="AA366" s="632"/>
      <c r="AB366" s="632"/>
      <c r="AC366" s="632"/>
      <c r="AD366" s="632">
        <f>CCBASE!$I$39*2</f>
        <v>311.10322599999995</v>
      </c>
    </row>
    <row r="367" spans="1:30" x14ac:dyDescent="0.2">
      <c r="A367" s="630" t="s">
        <v>188</v>
      </c>
      <c r="B367" s="630">
        <v>2250</v>
      </c>
      <c r="C367" s="630">
        <v>1000</v>
      </c>
      <c r="D367" s="630" t="str">
        <f t="shared" ref="D367" si="148">A367&amp;B367&amp;C367</f>
        <v>CV-W-MUAP22501000</v>
      </c>
      <c r="E367" s="1046">
        <f t="shared" si="133"/>
        <v>2113.8253481249994</v>
      </c>
      <c r="F367" s="631">
        <v>21</v>
      </c>
      <c r="G367" s="632">
        <f>F367*CCBASE!$B$51</f>
        <v>756</v>
      </c>
      <c r="H367" s="632">
        <f>CCBASE!$I$12*B367/1000</f>
        <v>269.21370892500005</v>
      </c>
      <c r="I367" s="632"/>
      <c r="J367" s="632"/>
      <c r="K367" s="632"/>
      <c r="L367" s="632">
        <f>CCBASE!$I$14*B367/1000</f>
        <v>471.09072149999997</v>
      </c>
      <c r="M367" s="632"/>
      <c r="N367" s="632"/>
      <c r="O367" s="632">
        <f>CCBASE!$I$45*B367/1000</f>
        <v>22.432500000000001</v>
      </c>
      <c r="P367" s="632"/>
      <c r="Q367" s="632">
        <f>CCBASE!$H$51</f>
        <v>5.16</v>
      </c>
      <c r="R367" s="632">
        <f>CCBASE!$I$4</f>
        <v>8.3986041999999994</v>
      </c>
      <c r="S367" s="632">
        <f>CCBASE!$I$8</f>
        <v>16.25526</v>
      </c>
      <c r="T367" s="632">
        <f>CCBASE!$I$44</f>
        <v>94.69</v>
      </c>
      <c r="U367" s="631"/>
      <c r="V367" s="631"/>
      <c r="W367" s="632">
        <f>CCBASE!$I$42*B367/1000</f>
        <v>159.48132749999999</v>
      </c>
      <c r="X367" s="632"/>
      <c r="Y367" s="632"/>
      <c r="Z367" s="632"/>
      <c r="AA367" s="632"/>
      <c r="AB367" s="632"/>
      <c r="AC367" s="632"/>
      <c r="AD367" s="632">
        <f>CCBASE!$I$39*2</f>
        <v>311.10322599999995</v>
      </c>
    </row>
    <row r="368" spans="1:30" x14ac:dyDescent="0.2">
      <c r="A368" s="630" t="s">
        <v>188</v>
      </c>
      <c r="B368" s="630">
        <v>2500</v>
      </c>
      <c r="C368" s="630">
        <v>1000</v>
      </c>
      <c r="D368" s="630" t="str">
        <f t="shared" si="145"/>
        <v>CV-W-MUAP25001000</v>
      </c>
      <c r="E368" s="1046">
        <f t="shared" si="133"/>
        <v>2216.2940434499997</v>
      </c>
      <c r="F368" s="631">
        <v>21</v>
      </c>
      <c r="G368" s="632">
        <f>F368*CCBASE!$B$51</f>
        <v>756</v>
      </c>
      <c r="H368" s="632">
        <f>CCBASE!$I$12*B368/1000</f>
        <v>299.12634325000005</v>
      </c>
      <c r="I368" s="632"/>
      <c r="J368" s="632"/>
      <c r="K368" s="632"/>
      <c r="L368" s="632">
        <f>CCBASE!$I$14*B368/1000</f>
        <v>523.43413499999997</v>
      </c>
      <c r="M368" s="632"/>
      <c r="N368" s="632"/>
      <c r="O368" s="632">
        <f>CCBASE!$I$45*B368/1000</f>
        <v>24.925000000000001</v>
      </c>
      <c r="P368" s="632"/>
      <c r="Q368" s="632">
        <f>CCBASE!$H$51</f>
        <v>5.16</v>
      </c>
      <c r="R368" s="632">
        <f>CCBASE!$I$4</f>
        <v>8.3986041999999994</v>
      </c>
      <c r="S368" s="632">
        <f>CCBASE!$I$8</f>
        <v>16.25526</v>
      </c>
      <c r="T368" s="632">
        <f>CCBASE!$I$44</f>
        <v>94.69</v>
      </c>
      <c r="U368" s="631"/>
      <c r="V368" s="631"/>
      <c r="W368" s="632">
        <f>CCBASE!$I$42*B368/1000</f>
        <v>177.20147500000002</v>
      </c>
      <c r="X368" s="632"/>
      <c r="Y368" s="632"/>
      <c r="Z368" s="632"/>
      <c r="AA368" s="632"/>
      <c r="AB368" s="632"/>
      <c r="AC368" s="632"/>
      <c r="AD368" s="632">
        <f>CCBASE!$I$39*2</f>
        <v>311.10322599999995</v>
      </c>
    </row>
    <row r="369" spans="1:30" x14ac:dyDescent="0.2">
      <c r="A369" s="630" t="s">
        <v>188</v>
      </c>
      <c r="B369" s="630">
        <v>2750</v>
      </c>
      <c r="C369" s="630">
        <v>1000</v>
      </c>
      <c r="D369" s="630" t="str">
        <f t="shared" ref="D369" si="149">A369&amp;B369&amp;C369</f>
        <v>CV-W-MUAP27501000</v>
      </c>
      <c r="E369" s="1046">
        <f t="shared" si="133"/>
        <v>2318.7627387749999</v>
      </c>
      <c r="F369" s="631">
        <v>21</v>
      </c>
      <c r="G369" s="632">
        <f>F369*CCBASE!$B$51</f>
        <v>756</v>
      </c>
      <c r="H369" s="632">
        <f>CCBASE!$I$12*B369/1000</f>
        <v>329.03897757500005</v>
      </c>
      <c r="I369" s="632"/>
      <c r="J369" s="632"/>
      <c r="K369" s="632"/>
      <c r="L369" s="632">
        <f>CCBASE!$I$14*B369/1000</f>
        <v>575.77754849999997</v>
      </c>
      <c r="M369" s="632"/>
      <c r="N369" s="632"/>
      <c r="O369" s="632">
        <f>CCBASE!$I$45*B369/1000</f>
        <v>27.4175</v>
      </c>
      <c r="P369" s="632"/>
      <c r="Q369" s="632">
        <f>CCBASE!$H$51</f>
        <v>5.16</v>
      </c>
      <c r="R369" s="632">
        <f>CCBASE!$I$4</f>
        <v>8.3986041999999994</v>
      </c>
      <c r="S369" s="632">
        <f>CCBASE!$I$8</f>
        <v>16.25526</v>
      </c>
      <c r="T369" s="632">
        <f>CCBASE!$I$44</f>
        <v>94.69</v>
      </c>
      <c r="U369" s="631"/>
      <c r="V369" s="631"/>
      <c r="W369" s="632">
        <f>CCBASE!$I$42*B369/1000</f>
        <v>194.92162249999998</v>
      </c>
      <c r="X369" s="632"/>
      <c r="Y369" s="632"/>
      <c r="Z369" s="632"/>
      <c r="AA369" s="632"/>
      <c r="AB369" s="632"/>
      <c r="AC369" s="632"/>
      <c r="AD369" s="632">
        <f>CCBASE!$I$39*2</f>
        <v>311.10322599999995</v>
      </c>
    </row>
    <row r="370" spans="1:30" x14ac:dyDescent="0.2">
      <c r="A370" s="630" t="s">
        <v>188</v>
      </c>
      <c r="B370" s="630">
        <v>3000</v>
      </c>
      <c r="C370" s="630">
        <v>1000</v>
      </c>
      <c r="D370" s="630" t="str">
        <f t="shared" si="145"/>
        <v>CV-W-MUAP30001000</v>
      </c>
      <c r="E370" s="1046">
        <f t="shared" si="133"/>
        <v>2421.2314341000001</v>
      </c>
      <c r="F370" s="631">
        <v>21</v>
      </c>
      <c r="G370" s="632">
        <f>F370*CCBASE!$B$51</f>
        <v>756</v>
      </c>
      <c r="H370" s="632">
        <f>CCBASE!$I$12*B370/1000</f>
        <v>358.95161190000005</v>
      </c>
      <c r="I370" s="632"/>
      <c r="J370" s="632"/>
      <c r="K370" s="632"/>
      <c r="L370" s="632">
        <f>CCBASE!$I$14*B370/1000</f>
        <v>628.12096199999996</v>
      </c>
      <c r="M370" s="632"/>
      <c r="N370" s="632"/>
      <c r="O370" s="632">
        <f>CCBASE!$I$45*B370/1000</f>
        <v>29.910000000000004</v>
      </c>
      <c r="P370" s="632"/>
      <c r="Q370" s="632">
        <f>CCBASE!$H$51</f>
        <v>5.16</v>
      </c>
      <c r="R370" s="632">
        <f>CCBASE!$I$4</f>
        <v>8.3986041999999994</v>
      </c>
      <c r="S370" s="632">
        <f>CCBASE!$I$8</f>
        <v>16.25526</v>
      </c>
      <c r="T370" s="632">
        <f>CCBASE!$I$44</f>
        <v>94.69</v>
      </c>
      <c r="U370" s="631"/>
      <c r="V370" s="631"/>
      <c r="W370" s="632">
        <f>CCBASE!$I$42*B370/1000</f>
        <v>212.64176999999998</v>
      </c>
      <c r="X370" s="632"/>
      <c r="Y370" s="632"/>
      <c r="Z370" s="632"/>
      <c r="AA370" s="632"/>
      <c r="AB370" s="632"/>
      <c r="AC370" s="632"/>
      <c r="AD370" s="632">
        <f>CCBASE!$I$39*2</f>
        <v>311.10322599999995</v>
      </c>
    </row>
    <row r="371" spans="1:30" x14ac:dyDescent="0.2">
      <c r="A371" s="630" t="s">
        <v>188</v>
      </c>
      <c r="B371" s="630">
        <v>1000</v>
      </c>
      <c r="C371" s="630">
        <v>1250</v>
      </c>
      <c r="D371" s="630" t="str">
        <f t="shared" si="145"/>
        <v>CV-W-MUAP10001250</v>
      </c>
      <c r="E371" s="1046">
        <f t="shared" si="133"/>
        <v>1165.60630477</v>
      </c>
      <c r="F371" s="631">
        <v>18</v>
      </c>
      <c r="G371" s="632">
        <f>F371*CCBASE!$B$51</f>
        <v>648</v>
      </c>
      <c r="H371" s="632">
        <f>CCBASE!$I$16</f>
        <v>79.000110070000005</v>
      </c>
      <c r="I371" s="632">
        <f>(CCBASE!$I$20)/1000*B371</f>
        <v>86.647571499999998</v>
      </c>
      <c r="J371" s="632"/>
      <c r="K371" s="632"/>
      <c r="L371" s="632"/>
      <c r="M371" s="632">
        <f>CCBASE!$I$6*B371/1000</f>
        <v>121.24745499999997</v>
      </c>
      <c r="N371" s="632">
        <f>CCBASE!$I$7*B371/1000</f>
        <v>31.542280000000002</v>
      </c>
      <c r="O371" s="632">
        <f>CCBASE!$I$45*B371/1000</f>
        <v>9.9700000000000006</v>
      </c>
      <c r="P371" s="631"/>
      <c r="Q371" s="631"/>
      <c r="R371" s="632">
        <f>CCBASE!$I$4</f>
        <v>8.3986041999999994</v>
      </c>
      <c r="S371" s="637">
        <f>CCBASE!$I$8</f>
        <v>16.25526</v>
      </c>
      <c r="T371" s="631"/>
      <c r="U371" s="637">
        <f>CCBASE!$I$47</f>
        <v>14.41</v>
      </c>
      <c r="V371" s="631"/>
      <c r="W371" s="632">
        <f>CCBASE!$I$40*B371/1000</f>
        <v>41.308039999999998</v>
      </c>
      <c r="X371" s="632"/>
      <c r="Y371" s="632"/>
      <c r="Z371" s="632"/>
      <c r="AA371" s="632"/>
      <c r="AB371" s="632"/>
      <c r="AC371" s="632"/>
      <c r="AD371" s="637">
        <f>CCBASE!$I$32*2</f>
        <v>108.826984</v>
      </c>
    </row>
    <row r="372" spans="1:30" x14ac:dyDescent="0.2">
      <c r="A372" s="630" t="s">
        <v>188</v>
      </c>
      <c r="B372" s="630">
        <v>1250</v>
      </c>
      <c r="C372" s="630">
        <v>1250</v>
      </c>
      <c r="D372" s="630" t="str">
        <f t="shared" ref="D372" si="150">A372&amp;B372&amp;C372</f>
        <v>CV-W-MUAP12501250</v>
      </c>
      <c r="E372" s="1046">
        <f t="shared" si="133"/>
        <v>1252.6951413949998</v>
      </c>
      <c r="F372" s="631">
        <v>18</v>
      </c>
      <c r="G372" s="632">
        <f>F372*CCBASE!$B$51</f>
        <v>648</v>
      </c>
      <c r="H372" s="632">
        <f>CCBASE!$I$16</f>
        <v>79.000110070000005</v>
      </c>
      <c r="I372" s="632">
        <f>(CCBASE!$I$20)/1000*B372</f>
        <v>108.30946437499999</v>
      </c>
      <c r="J372" s="632"/>
      <c r="K372" s="632"/>
      <c r="L372" s="632"/>
      <c r="M372" s="632">
        <f>CCBASE!$I$6*B372/1000</f>
        <v>151.55931874999999</v>
      </c>
      <c r="N372" s="632">
        <f>CCBASE!$I$7*B372/1000</f>
        <v>39.427849999999999</v>
      </c>
      <c r="O372" s="632">
        <f>CCBASE!$I$45*B372/1000</f>
        <v>12.4625</v>
      </c>
      <c r="P372" s="631"/>
      <c r="Q372" s="631"/>
      <c r="R372" s="632">
        <f>CCBASE!$I$4</f>
        <v>8.3986041999999994</v>
      </c>
      <c r="S372" s="637">
        <f>CCBASE!$I$8</f>
        <v>16.25526</v>
      </c>
      <c r="T372" s="631"/>
      <c r="U372" s="637">
        <f>CCBASE!$I$47*2</f>
        <v>28.82</v>
      </c>
      <c r="V372" s="631"/>
      <c r="W372" s="632">
        <f>CCBASE!$I$40*B372/1000</f>
        <v>51.635049999999993</v>
      </c>
      <c r="X372" s="632"/>
      <c r="Y372" s="632"/>
      <c r="Z372" s="632"/>
      <c r="AA372" s="632"/>
      <c r="AB372" s="632"/>
      <c r="AC372" s="632"/>
      <c r="AD372" s="637">
        <f>CCBASE!$I$32*2</f>
        <v>108.826984</v>
      </c>
    </row>
    <row r="373" spans="1:30" x14ac:dyDescent="0.2">
      <c r="A373" s="630" t="s">
        <v>188</v>
      </c>
      <c r="B373" s="630">
        <v>1500</v>
      </c>
      <c r="C373" s="630">
        <v>1250</v>
      </c>
      <c r="D373" s="630" t="str">
        <f t="shared" si="145"/>
        <v>CV-W-MUAP15001250</v>
      </c>
      <c r="E373" s="1046">
        <f t="shared" si="133"/>
        <v>1325.3739780199996</v>
      </c>
      <c r="F373" s="631">
        <v>18</v>
      </c>
      <c r="G373" s="632">
        <f>F373*CCBASE!$B$51</f>
        <v>648</v>
      </c>
      <c r="H373" s="632">
        <f>CCBASE!$I$16</f>
        <v>79.000110070000005</v>
      </c>
      <c r="I373" s="632">
        <f>(CCBASE!$I$20)/1000*B373</f>
        <v>129.97135724999998</v>
      </c>
      <c r="J373" s="632"/>
      <c r="K373" s="632"/>
      <c r="L373" s="632"/>
      <c r="M373" s="632">
        <f>CCBASE!$I$6*B373/1000</f>
        <v>181.87118249999997</v>
      </c>
      <c r="N373" s="632">
        <f>CCBASE!$I$7*B373/1000</f>
        <v>47.313420000000008</v>
      </c>
      <c r="O373" s="632">
        <f>CCBASE!$I$45*B373/1000</f>
        <v>14.955000000000002</v>
      </c>
      <c r="P373" s="631"/>
      <c r="Q373" s="631"/>
      <c r="R373" s="632">
        <f>CCBASE!$I$4</f>
        <v>8.3986041999999994</v>
      </c>
      <c r="S373" s="637">
        <f>CCBASE!$I$8</f>
        <v>16.25526</v>
      </c>
      <c r="T373" s="631"/>
      <c r="U373" s="637">
        <f>CCBASE!$I$47*2</f>
        <v>28.82</v>
      </c>
      <c r="V373" s="631"/>
      <c r="W373" s="632">
        <f>CCBASE!$I$40*B373/1000</f>
        <v>61.962060000000001</v>
      </c>
      <c r="X373" s="632"/>
      <c r="Y373" s="632"/>
      <c r="Z373" s="632"/>
      <c r="AA373" s="632"/>
      <c r="AB373" s="632"/>
      <c r="AC373" s="632"/>
      <c r="AD373" s="637">
        <f>CCBASE!$I$32*2</f>
        <v>108.826984</v>
      </c>
    </row>
    <row r="374" spans="1:30" x14ac:dyDescent="0.2">
      <c r="A374" s="630" t="s">
        <v>188</v>
      </c>
      <c r="B374" s="630">
        <v>1750</v>
      </c>
      <c r="C374" s="630">
        <v>1250</v>
      </c>
      <c r="D374" s="630" t="str">
        <f t="shared" ref="D374" si="151">A374&amp;B374&amp;C374</f>
        <v>CV-W-MUAP17501250</v>
      </c>
      <c r="E374" s="1046">
        <f t="shared" si="133"/>
        <v>1398.0528146449999</v>
      </c>
      <c r="F374" s="631">
        <v>18</v>
      </c>
      <c r="G374" s="632">
        <f>F374*CCBASE!$B$51</f>
        <v>648</v>
      </c>
      <c r="H374" s="632">
        <f>CCBASE!$I$16</f>
        <v>79.000110070000005</v>
      </c>
      <c r="I374" s="632">
        <f>(CCBASE!$I$20)/1000*B374</f>
        <v>151.63325012499999</v>
      </c>
      <c r="J374" s="632"/>
      <c r="K374" s="632"/>
      <c r="L374" s="632"/>
      <c r="M374" s="632">
        <f>CCBASE!$I$6*B374/1000</f>
        <v>212.18304624999996</v>
      </c>
      <c r="N374" s="632">
        <f>CCBASE!$I$7*B374/1000</f>
        <v>55.198990000000002</v>
      </c>
      <c r="O374" s="632">
        <f>CCBASE!$I$45*B374/1000</f>
        <v>17.447500000000002</v>
      </c>
      <c r="P374" s="631"/>
      <c r="Q374" s="631"/>
      <c r="R374" s="632">
        <f>CCBASE!$I$4</f>
        <v>8.3986041999999994</v>
      </c>
      <c r="S374" s="637">
        <f>CCBASE!$I$8</f>
        <v>16.25526</v>
      </c>
      <c r="T374" s="631"/>
      <c r="U374" s="637">
        <f>CCBASE!$I$47*2</f>
        <v>28.82</v>
      </c>
      <c r="V374" s="631"/>
      <c r="W374" s="632">
        <f>CCBASE!$I$40*B374/1000</f>
        <v>72.289069999999995</v>
      </c>
      <c r="X374" s="632"/>
      <c r="Y374" s="632"/>
      <c r="Z374" s="632"/>
      <c r="AA374" s="632"/>
      <c r="AB374" s="632"/>
      <c r="AC374" s="632"/>
      <c r="AD374" s="637">
        <f>CCBASE!$I$32*2</f>
        <v>108.826984</v>
      </c>
    </row>
    <row r="375" spans="1:30" x14ac:dyDescent="0.2">
      <c r="A375" s="630" t="s">
        <v>188</v>
      </c>
      <c r="B375" s="630">
        <v>2000</v>
      </c>
      <c r="C375" s="630">
        <v>1250</v>
      </c>
      <c r="D375" s="630" t="str">
        <f t="shared" si="145"/>
        <v>CV-W-MUAP20001250</v>
      </c>
      <c r="E375" s="1046">
        <f t="shared" si="133"/>
        <v>1470.7316512699997</v>
      </c>
      <c r="F375" s="631">
        <v>18</v>
      </c>
      <c r="G375" s="632">
        <f>F375*CCBASE!$B$51</f>
        <v>648</v>
      </c>
      <c r="H375" s="632">
        <f>CCBASE!$I$16</f>
        <v>79.000110070000005</v>
      </c>
      <c r="I375" s="632">
        <f>(CCBASE!$I$20)/1000*B375</f>
        <v>173.295143</v>
      </c>
      <c r="J375" s="632"/>
      <c r="K375" s="632"/>
      <c r="L375" s="632"/>
      <c r="M375" s="632">
        <f>CCBASE!$I$6*B375/1000</f>
        <v>242.49490999999995</v>
      </c>
      <c r="N375" s="632">
        <f>CCBASE!$I$7*B375/1000</f>
        <v>63.084560000000003</v>
      </c>
      <c r="O375" s="632">
        <f>CCBASE!$I$45*B375/1000</f>
        <v>19.940000000000001</v>
      </c>
      <c r="P375" s="631"/>
      <c r="Q375" s="631"/>
      <c r="R375" s="632">
        <f>CCBASE!$I$4</f>
        <v>8.3986041999999994</v>
      </c>
      <c r="S375" s="637">
        <f>CCBASE!$I$8</f>
        <v>16.25526</v>
      </c>
      <c r="T375" s="631"/>
      <c r="U375" s="637">
        <f>CCBASE!$I$47*2</f>
        <v>28.82</v>
      </c>
      <c r="V375" s="631"/>
      <c r="W375" s="632">
        <f>CCBASE!$I$40*B375/1000</f>
        <v>82.616079999999997</v>
      </c>
      <c r="X375" s="632"/>
      <c r="Y375" s="632"/>
      <c r="Z375" s="632"/>
      <c r="AA375" s="632"/>
      <c r="AB375" s="632"/>
      <c r="AC375" s="632"/>
      <c r="AD375" s="637">
        <f>CCBASE!$I$32*2</f>
        <v>108.826984</v>
      </c>
    </row>
    <row r="376" spans="1:30" x14ac:dyDescent="0.2">
      <c r="A376" s="630" t="s">
        <v>188</v>
      </c>
      <c r="B376" s="630">
        <v>2250</v>
      </c>
      <c r="C376" s="630">
        <v>1250</v>
      </c>
      <c r="D376" s="630" t="str">
        <f t="shared" ref="D376" si="152">A376&amp;B376&amp;C376</f>
        <v>CV-W-MUAP22501250</v>
      </c>
      <c r="E376" s="1046">
        <f t="shared" si="133"/>
        <v>1579.4104878949995</v>
      </c>
      <c r="F376" s="631">
        <v>19</v>
      </c>
      <c r="G376" s="632">
        <f>F376*CCBASE!$B$51</f>
        <v>684</v>
      </c>
      <c r="H376" s="632">
        <f>CCBASE!$I$16</f>
        <v>79.000110070000005</v>
      </c>
      <c r="I376" s="632">
        <f>(CCBASE!$I$20)/1000*B376</f>
        <v>194.95703587499997</v>
      </c>
      <c r="J376" s="632"/>
      <c r="K376" s="632"/>
      <c r="L376" s="632"/>
      <c r="M376" s="632">
        <f>CCBASE!$I$6*B376/1000</f>
        <v>272.80677374999993</v>
      </c>
      <c r="N376" s="632">
        <f>CCBASE!$I$7*B376/1000</f>
        <v>70.970130000000012</v>
      </c>
      <c r="O376" s="632">
        <f>CCBASE!$I$45*B376/1000</f>
        <v>22.432500000000001</v>
      </c>
      <c r="P376" s="631"/>
      <c r="Q376" s="631"/>
      <c r="R376" s="632">
        <f>CCBASE!$I$4</f>
        <v>8.3986041999999994</v>
      </c>
      <c r="S376" s="637">
        <f>CCBASE!$I$8</f>
        <v>16.25526</v>
      </c>
      <c r="T376" s="631"/>
      <c r="U376" s="637">
        <f>CCBASE!$I$47*2</f>
        <v>28.82</v>
      </c>
      <c r="V376" s="631"/>
      <c r="W376" s="632">
        <f>CCBASE!$I$40*B376/1000</f>
        <v>92.943089999999998</v>
      </c>
      <c r="X376" s="632"/>
      <c r="Y376" s="632"/>
      <c r="Z376" s="632"/>
      <c r="AA376" s="632"/>
      <c r="AB376" s="632"/>
      <c r="AC376" s="632"/>
      <c r="AD376" s="637">
        <f>CCBASE!$I$32*2</f>
        <v>108.826984</v>
      </c>
    </row>
    <row r="377" spans="1:30" x14ac:dyDescent="0.2">
      <c r="A377" s="630" t="s">
        <v>188</v>
      </c>
      <c r="B377" s="630">
        <v>2500</v>
      </c>
      <c r="C377" s="630">
        <v>1250</v>
      </c>
      <c r="D377" s="630" t="str">
        <f t="shared" si="145"/>
        <v>CV-W-MUAP25001250</v>
      </c>
      <c r="E377" s="1046">
        <f t="shared" si="133"/>
        <v>1652.0893245199998</v>
      </c>
      <c r="F377" s="631">
        <v>19</v>
      </c>
      <c r="G377" s="632">
        <f>F377*CCBASE!$B$51</f>
        <v>684</v>
      </c>
      <c r="H377" s="632">
        <f>CCBASE!$I$16</f>
        <v>79.000110070000005</v>
      </c>
      <c r="I377" s="632">
        <f>(CCBASE!$I$20)/1000*B377</f>
        <v>216.61892874999998</v>
      </c>
      <c r="J377" s="632"/>
      <c r="K377" s="632"/>
      <c r="L377" s="632"/>
      <c r="M377" s="632">
        <f>CCBASE!$I$6*B377/1000</f>
        <v>303.11863749999998</v>
      </c>
      <c r="N377" s="632">
        <f>CCBASE!$I$7*B377/1000</f>
        <v>78.855699999999999</v>
      </c>
      <c r="O377" s="632">
        <f>CCBASE!$I$45*B377/1000</f>
        <v>24.925000000000001</v>
      </c>
      <c r="P377" s="631"/>
      <c r="Q377" s="631"/>
      <c r="R377" s="632">
        <f>CCBASE!$I$4</f>
        <v>8.3986041999999994</v>
      </c>
      <c r="S377" s="637">
        <f>CCBASE!$I$8</f>
        <v>16.25526</v>
      </c>
      <c r="T377" s="631"/>
      <c r="U377" s="637">
        <f>CCBASE!$I$47*2</f>
        <v>28.82</v>
      </c>
      <c r="V377" s="631"/>
      <c r="W377" s="632">
        <f>CCBASE!$I$40*B377/1000</f>
        <v>103.27009999999999</v>
      </c>
      <c r="X377" s="632"/>
      <c r="Y377" s="632"/>
      <c r="Z377" s="632"/>
      <c r="AA377" s="632"/>
      <c r="AB377" s="632"/>
      <c r="AC377" s="632"/>
      <c r="AD377" s="637">
        <f>CCBASE!$I$32*2</f>
        <v>108.826984</v>
      </c>
    </row>
    <row r="378" spans="1:30" x14ac:dyDescent="0.2">
      <c r="A378" s="630" t="s">
        <v>188</v>
      </c>
      <c r="B378" s="630">
        <v>2750</v>
      </c>
      <c r="C378" s="630">
        <v>1250</v>
      </c>
      <c r="D378" s="630" t="str">
        <f t="shared" ref="D378" si="153">A378&amp;B378&amp;C378</f>
        <v>CV-W-MUAP27501250</v>
      </c>
      <c r="E378" s="1046">
        <f t="shared" si="133"/>
        <v>1724.7681611449996</v>
      </c>
      <c r="F378" s="631">
        <v>19</v>
      </c>
      <c r="G378" s="632">
        <f>F378*CCBASE!$B$51</f>
        <v>684</v>
      </c>
      <c r="H378" s="632">
        <f>CCBASE!$I$16</f>
        <v>79.000110070000005</v>
      </c>
      <c r="I378" s="632">
        <f>(CCBASE!$I$20)/1000*B378</f>
        <v>238.28082162499999</v>
      </c>
      <c r="J378" s="632"/>
      <c r="K378" s="632"/>
      <c r="L378" s="632"/>
      <c r="M378" s="632">
        <f>CCBASE!$I$6*B378/1000</f>
        <v>333.43050124999991</v>
      </c>
      <c r="N378" s="632">
        <f>CCBASE!$I$7*B378/1000</f>
        <v>86.74127</v>
      </c>
      <c r="O378" s="632">
        <f>CCBASE!$I$45*B378/1000</f>
        <v>27.4175</v>
      </c>
      <c r="P378" s="631"/>
      <c r="Q378" s="631"/>
      <c r="R378" s="632">
        <f>CCBASE!$I$4</f>
        <v>8.3986041999999994</v>
      </c>
      <c r="S378" s="637">
        <f>CCBASE!$I$8</f>
        <v>16.25526</v>
      </c>
      <c r="T378" s="631"/>
      <c r="U378" s="637">
        <f>CCBASE!$I$47*2</f>
        <v>28.82</v>
      </c>
      <c r="V378" s="631"/>
      <c r="W378" s="632">
        <f>CCBASE!$I$40*B378/1000</f>
        <v>113.59711</v>
      </c>
      <c r="X378" s="632"/>
      <c r="Y378" s="632"/>
      <c r="Z378" s="632"/>
      <c r="AA378" s="632"/>
      <c r="AB378" s="632"/>
      <c r="AC378" s="632"/>
      <c r="AD378" s="637">
        <f>CCBASE!$I$32*2</f>
        <v>108.826984</v>
      </c>
    </row>
    <row r="379" spans="1:30" x14ac:dyDescent="0.2">
      <c r="A379" s="630" t="s">
        <v>188</v>
      </c>
      <c r="B379" s="630">
        <v>3000</v>
      </c>
      <c r="C379" s="630">
        <v>1250</v>
      </c>
      <c r="D379" s="630" t="str">
        <f t="shared" si="145"/>
        <v>CV-W-MUAP30001250</v>
      </c>
      <c r="E379" s="1046">
        <f t="shared" si="133"/>
        <v>1797.4469977699998</v>
      </c>
      <c r="F379" s="631">
        <v>19</v>
      </c>
      <c r="G379" s="632">
        <f>F379*CCBASE!$B$51</f>
        <v>684</v>
      </c>
      <c r="H379" s="632">
        <f>CCBASE!$I$16</f>
        <v>79.000110070000005</v>
      </c>
      <c r="I379" s="632">
        <f>(CCBASE!$I$20)/1000*B379</f>
        <v>259.94271449999997</v>
      </c>
      <c r="J379" s="632"/>
      <c r="K379" s="632"/>
      <c r="L379" s="632"/>
      <c r="M379" s="632">
        <f>CCBASE!$I$6*B379/1000</f>
        <v>363.74236499999995</v>
      </c>
      <c r="N379" s="632">
        <f>CCBASE!$I$7*B379/1000</f>
        <v>94.626840000000016</v>
      </c>
      <c r="O379" s="632">
        <f>CCBASE!$I$45*B379/1000</f>
        <v>29.910000000000004</v>
      </c>
      <c r="P379" s="631"/>
      <c r="Q379" s="631"/>
      <c r="R379" s="632">
        <f>CCBASE!$I$4</f>
        <v>8.3986041999999994</v>
      </c>
      <c r="S379" s="637">
        <f>CCBASE!$I$8</f>
        <v>16.25526</v>
      </c>
      <c r="T379" s="631"/>
      <c r="U379" s="637">
        <f>CCBASE!$I$47*2</f>
        <v>28.82</v>
      </c>
      <c r="V379" s="631"/>
      <c r="W379" s="632">
        <f>CCBASE!$I$40*B379/1000</f>
        <v>123.92412</v>
      </c>
      <c r="X379" s="632"/>
      <c r="Y379" s="632"/>
      <c r="Z379" s="632"/>
      <c r="AA379" s="632"/>
      <c r="AB379" s="632"/>
      <c r="AC379" s="632"/>
      <c r="AD379" s="637">
        <f>CCBASE!$I$32*2</f>
        <v>108.826984</v>
      </c>
    </row>
    <row r="380" spans="1:30" x14ac:dyDescent="0.2">
      <c r="A380" s="630" t="s">
        <v>188</v>
      </c>
      <c r="B380" s="630">
        <v>1000</v>
      </c>
      <c r="C380" s="630">
        <v>1500</v>
      </c>
      <c r="D380" s="630" t="str">
        <f t="shared" si="145"/>
        <v>CV-W-MUAP10001500</v>
      </c>
      <c r="E380" s="1046">
        <f t="shared" si="133"/>
        <v>1230.2696426000002</v>
      </c>
      <c r="F380" s="631">
        <v>18</v>
      </c>
      <c r="G380" s="632">
        <f>F380*CCBASE!$B$51</f>
        <v>648</v>
      </c>
      <c r="H380" s="632">
        <f>CCBASE!$I$17</f>
        <v>98.713171899999992</v>
      </c>
      <c r="I380" s="632">
        <f>(CCBASE!$I$20)/1000*B380</f>
        <v>86.647571499999998</v>
      </c>
      <c r="J380" s="632"/>
      <c r="K380" s="632"/>
      <c r="L380" s="632"/>
      <c r="M380" s="632">
        <f>CCBASE!$I$6*B380/1000</f>
        <v>121.24745499999997</v>
      </c>
      <c r="N380" s="632">
        <f>CCBASE!$I$7*B380/1000</f>
        <v>31.542280000000002</v>
      </c>
      <c r="O380" s="632">
        <f>CCBASE!$I$45*B380/1000</f>
        <v>9.9700000000000006</v>
      </c>
      <c r="P380" s="631"/>
      <c r="Q380" s="631"/>
      <c r="R380" s="632">
        <f>CCBASE!$I$4</f>
        <v>8.3986041999999994</v>
      </c>
      <c r="S380" s="637">
        <f>CCBASE!$I$8</f>
        <v>16.25526</v>
      </c>
      <c r="T380" s="631"/>
      <c r="U380" s="637">
        <f>CCBASE!$I$47</f>
        <v>14.41</v>
      </c>
      <c r="V380" s="631"/>
      <c r="W380" s="632">
        <f>CCBASE!$I$41*B380/1000</f>
        <v>59.051569999999998</v>
      </c>
      <c r="X380" s="632"/>
      <c r="Y380" s="632"/>
      <c r="Z380" s="632"/>
      <c r="AA380" s="632"/>
      <c r="AB380" s="632"/>
      <c r="AC380" s="632"/>
      <c r="AD380" s="637">
        <f>CCBASE!$I$33*2</f>
        <v>136.03372999999999</v>
      </c>
    </row>
    <row r="381" spans="1:30" x14ac:dyDescent="0.2">
      <c r="A381" s="630" t="s">
        <v>188</v>
      </c>
      <c r="B381" s="630">
        <v>1250</v>
      </c>
      <c r="C381" s="630">
        <v>1500</v>
      </c>
      <c r="D381" s="630" t="str">
        <f t="shared" ref="D381" si="154">A381&amp;B381&amp;C381</f>
        <v>CV-W-MUAP12501500</v>
      </c>
      <c r="E381" s="1046">
        <f t="shared" si="133"/>
        <v>1321.7943617249998</v>
      </c>
      <c r="F381" s="631">
        <v>18</v>
      </c>
      <c r="G381" s="632">
        <f>F381*CCBASE!$B$51</f>
        <v>648</v>
      </c>
      <c r="H381" s="632">
        <f>CCBASE!$I$17</f>
        <v>98.713171899999992</v>
      </c>
      <c r="I381" s="632">
        <f>(CCBASE!$I$20)/1000*B381</f>
        <v>108.30946437499999</v>
      </c>
      <c r="J381" s="632"/>
      <c r="K381" s="632"/>
      <c r="L381" s="632"/>
      <c r="M381" s="632">
        <f>CCBASE!$I$6*B381/1000</f>
        <v>151.55931874999999</v>
      </c>
      <c r="N381" s="632">
        <f>CCBASE!$I$7*B381/1000</f>
        <v>39.427849999999999</v>
      </c>
      <c r="O381" s="632">
        <f>CCBASE!$I$45*B381/1000</f>
        <v>12.4625</v>
      </c>
      <c r="P381" s="631"/>
      <c r="Q381" s="631"/>
      <c r="R381" s="632">
        <f>CCBASE!$I$4</f>
        <v>8.3986041999999994</v>
      </c>
      <c r="S381" s="637">
        <f>CCBASE!$I$8</f>
        <v>16.25526</v>
      </c>
      <c r="T381" s="631"/>
      <c r="U381" s="637">
        <f>CCBASE!$I$47*2</f>
        <v>28.82</v>
      </c>
      <c r="V381" s="631"/>
      <c r="W381" s="632">
        <f>CCBASE!$I$41*B381/1000</f>
        <v>73.814462499999991</v>
      </c>
      <c r="X381" s="632"/>
      <c r="Y381" s="632"/>
      <c r="Z381" s="632"/>
      <c r="AA381" s="632"/>
      <c r="AB381" s="632"/>
      <c r="AC381" s="632"/>
      <c r="AD381" s="637">
        <f>CCBASE!$I$33*2</f>
        <v>136.03372999999999</v>
      </c>
    </row>
    <row r="382" spans="1:30" x14ac:dyDescent="0.2">
      <c r="A382" s="630" t="s">
        <v>188</v>
      </c>
      <c r="B382" s="630">
        <v>1500</v>
      </c>
      <c r="C382" s="630">
        <v>1500</v>
      </c>
      <c r="D382" s="630" t="str">
        <f t="shared" si="145"/>
        <v>CV-W-MUAP15001500</v>
      </c>
      <c r="E382" s="1046">
        <f t="shared" si="133"/>
        <v>1398.9090808499996</v>
      </c>
      <c r="F382" s="631">
        <v>18</v>
      </c>
      <c r="G382" s="632">
        <f>F382*CCBASE!$B$51</f>
        <v>648</v>
      </c>
      <c r="H382" s="632">
        <f>CCBASE!$I$17</f>
        <v>98.713171899999992</v>
      </c>
      <c r="I382" s="632">
        <f>(CCBASE!$I$20)/1000*B382</f>
        <v>129.97135724999998</v>
      </c>
      <c r="J382" s="632"/>
      <c r="K382" s="632"/>
      <c r="L382" s="632"/>
      <c r="M382" s="632">
        <f>CCBASE!$I$6*B382/1000</f>
        <v>181.87118249999997</v>
      </c>
      <c r="N382" s="632">
        <f>CCBASE!$I$7*B382/1000</f>
        <v>47.313420000000008</v>
      </c>
      <c r="O382" s="632">
        <f>CCBASE!$I$45*B382/1000</f>
        <v>14.955000000000002</v>
      </c>
      <c r="P382" s="631"/>
      <c r="Q382" s="631"/>
      <c r="R382" s="632">
        <f>CCBASE!$I$4</f>
        <v>8.3986041999999994</v>
      </c>
      <c r="S382" s="637">
        <f>CCBASE!$I$8</f>
        <v>16.25526</v>
      </c>
      <c r="T382" s="631"/>
      <c r="U382" s="637">
        <f>CCBASE!$I$47*2</f>
        <v>28.82</v>
      </c>
      <c r="V382" s="631"/>
      <c r="W382" s="632">
        <f>CCBASE!$I$41*B382/1000</f>
        <v>88.577354999999997</v>
      </c>
      <c r="X382" s="632"/>
      <c r="Y382" s="632"/>
      <c r="Z382" s="632"/>
      <c r="AA382" s="632"/>
      <c r="AB382" s="632"/>
      <c r="AC382" s="632"/>
      <c r="AD382" s="637">
        <f>CCBASE!$I$33*2</f>
        <v>136.03372999999999</v>
      </c>
    </row>
    <row r="383" spans="1:30" x14ac:dyDescent="0.2">
      <c r="A383" s="630" t="s">
        <v>188</v>
      </c>
      <c r="B383" s="630">
        <v>1750</v>
      </c>
      <c r="C383" s="630">
        <v>1500</v>
      </c>
      <c r="D383" s="630" t="str">
        <f t="shared" ref="D383" si="155">A383&amp;B383&amp;C383</f>
        <v>CV-W-MUAP17501500</v>
      </c>
      <c r="E383" s="1046">
        <f t="shared" si="133"/>
        <v>1476.0237999749997</v>
      </c>
      <c r="F383" s="631">
        <v>18</v>
      </c>
      <c r="G383" s="632">
        <f>F383*CCBASE!$B$51</f>
        <v>648</v>
      </c>
      <c r="H383" s="632">
        <f>CCBASE!$I$17</f>
        <v>98.713171899999992</v>
      </c>
      <c r="I383" s="632">
        <f>(CCBASE!$I$20)/1000*B383</f>
        <v>151.63325012499999</v>
      </c>
      <c r="J383" s="632"/>
      <c r="K383" s="632"/>
      <c r="L383" s="632"/>
      <c r="M383" s="632">
        <f>CCBASE!$I$6*B383/1000</f>
        <v>212.18304624999996</v>
      </c>
      <c r="N383" s="632">
        <f>CCBASE!$I$7*B383/1000</f>
        <v>55.198990000000002</v>
      </c>
      <c r="O383" s="632">
        <f>CCBASE!$I$45*B383/1000</f>
        <v>17.447500000000002</v>
      </c>
      <c r="P383" s="631"/>
      <c r="Q383" s="631"/>
      <c r="R383" s="632">
        <f>CCBASE!$I$4</f>
        <v>8.3986041999999994</v>
      </c>
      <c r="S383" s="637">
        <f>CCBASE!$I$8</f>
        <v>16.25526</v>
      </c>
      <c r="T383" s="631"/>
      <c r="U383" s="637">
        <f>CCBASE!$I$47*2</f>
        <v>28.82</v>
      </c>
      <c r="V383" s="631"/>
      <c r="W383" s="632">
        <f>CCBASE!$I$41*B383/1000</f>
        <v>103.3402475</v>
      </c>
      <c r="X383" s="632"/>
      <c r="Y383" s="632"/>
      <c r="Z383" s="632"/>
      <c r="AA383" s="632"/>
      <c r="AB383" s="632"/>
      <c r="AC383" s="632"/>
      <c r="AD383" s="637">
        <f>CCBASE!$I$33*2</f>
        <v>136.03372999999999</v>
      </c>
    </row>
    <row r="384" spans="1:30" x14ac:dyDescent="0.2">
      <c r="A384" s="630" t="s">
        <v>188</v>
      </c>
      <c r="B384" s="630">
        <v>2000</v>
      </c>
      <c r="C384" s="630">
        <v>1500</v>
      </c>
      <c r="D384" s="630" t="str">
        <f t="shared" si="145"/>
        <v>CV-W-MUAP20001500</v>
      </c>
      <c r="E384" s="1046">
        <f t="shared" si="133"/>
        <v>1553.1385190999995</v>
      </c>
      <c r="F384" s="631">
        <v>18</v>
      </c>
      <c r="G384" s="632">
        <f>F384*CCBASE!$B$51</f>
        <v>648</v>
      </c>
      <c r="H384" s="632">
        <f>CCBASE!$I$17</f>
        <v>98.713171899999992</v>
      </c>
      <c r="I384" s="632">
        <f>(CCBASE!$I$20)/1000*B384</f>
        <v>173.295143</v>
      </c>
      <c r="J384" s="632"/>
      <c r="K384" s="632"/>
      <c r="L384" s="632"/>
      <c r="M384" s="632">
        <f>CCBASE!$I$6*B384/1000</f>
        <v>242.49490999999995</v>
      </c>
      <c r="N384" s="632">
        <f>CCBASE!$I$7*B384/1000</f>
        <v>63.084560000000003</v>
      </c>
      <c r="O384" s="632">
        <f>CCBASE!$I$45*B384/1000</f>
        <v>19.940000000000001</v>
      </c>
      <c r="P384" s="631"/>
      <c r="Q384" s="631"/>
      <c r="R384" s="632">
        <f>CCBASE!$I$4</f>
        <v>8.3986041999999994</v>
      </c>
      <c r="S384" s="637">
        <f>CCBASE!$I$8</f>
        <v>16.25526</v>
      </c>
      <c r="T384" s="631"/>
      <c r="U384" s="637">
        <f>CCBASE!$I$47*2</f>
        <v>28.82</v>
      </c>
      <c r="V384" s="631"/>
      <c r="W384" s="632">
        <f>CCBASE!$I$41*B384/1000</f>
        <v>118.10314</v>
      </c>
      <c r="X384" s="632"/>
      <c r="Y384" s="632"/>
      <c r="Z384" s="632"/>
      <c r="AA384" s="632"/>
      <c r="AB384" s="632"/>
      <c r="AC384" s="632"/>
      <c r="AD384" s="637">
        <f>CCBASE!$I$33*2</f>
        <v>136.03372999999999</v>
      </c>
    </row>
    <row r="385" spans="1:30" x14ac:dyDescent="0.2">
      <c r="A385" s="630" t="s">
        <v>188</v>
      </c>
      <c r="B385" s="630">
        <v>2250</v>
      </c>
      <c r="C385" s="630">
        <v>1500</v>
      </c>
      <c r="D385" s="630" t="str">
        <f t="shared" ref="D385" si="156">A385&amp;B385&amp;C385</f>
        <v>CV-W-MUAP22501500</v>
      </c>
      <c r="E385" s="1046">
        <f t="shared" si="133"/>
        <v>1666.2532382249997</v>
      </c>
      <c r="F385" s="631">
        <v>19</v>
      </c>
      <c r="G385" s="632">
        <f>F385*CCBASE!$B$51</f>
        <v>684</v>
      </c>
      <c r="H385" s="632">
        <f>CCBASE!$I$17</f>
        <v>98.713171899999992</v>
      </c>
      <c r="I385" s="632">
        <f>(CCBASE!$I$20)/1000*B385</f>
        <v>194.95703587499997</v>
      </c>
      <c r="J385" s="632"/>
      <c r="K385" s="632"/>
      <c r="L385" s="632"/>
      <c r="M385" s="632">
        <f>CCBASE!$I$6*B385/1000</f>
        <v>272.80677374999993</v>
      </c>
      <c r="N385" s="632">
        <f>CCBASE!$I$7*B385/1000</f>
        <v>70.970130000000012</v>
      </c>
      <c r="O385" s="632">
        <f>CCBASE!$I$45*B385/1000</f>
        <v>22.432500000000001</v>
      </c>
      <c r="P385" s="631"/>
      <c r="Q385" s="631"/>
      <c r="R385" s="632">
        <f>CCBASE!$I$4</f>
        <v>8.3986041999999994</v>
      </c>
      <c r="S385" s="637">
        <f>CCBASE!$I$8</f>
        <v>16.25526</v>
      </c>
      <c r="T385" s="631"/>
      <c r="U385" s="637">
        <f>CCBASE!$I$47*2</f>
        <v>28.82</v>
      </c>
      <c r="V385" s="631"/>
      <c r="W385" s="632">
        <f>CCBASE!$I$41*B385/1000</f>
        <v>132.86603249999999</v>
      </c>
      <c r="X385" s="632"/>
      <c r="Y385" s="632"/>
      <c r="Z385" s="632"/>
      <c r="AA385" s="632"/>
      <c r="AB385" s="632"/>
      <c r="AC385" s="632"/>
      <c r="AD385" s="637">
        <f>CCBASE!$I$33*2</f>
        <v>136.03372999999999</v>
      </c>
    </row>
    <row r="386" spans="1:30" x14ac:dyDescent="0.2">
      <c r="A386" s="630" t="s">
        <v>188</v>
      </c>
      <c r="B386" s="630">
        <v>2500</v>
      </c>
      <c r="C386" s="630">
        <v>1500</v>
      </c>
      <c r="D386" s="630" t="str">
        <f t="shared" si="145"/>
        <v>CV-W-MUAP25001500</v>
      </c>
      <c r="E386" s="1046">
        <f t="shared" si="133"/>
        <v>1743.3679573499999</v>
      </c>
      <c r="F386" s="631">
        <v>19</v>
      </c>
      <c r="G386" s="632">
        <f>F386*CCBASE!$B$51</f>
        <v>684</v>
      </c>
      <c r="H386" s="632">
        <f>CCBASE!$I$17</f>
        <v>98.713171899999992</v>
      </c>
      <c r="I386" s="632">
        <f>(CCBASE!$I$20)/1000*B386</f>
        <v>216.61892874999998</v>
      </c>
      <c r="J386" s="632"/>
      <c r="K386" s="632"/>
      <c r="L386" s="632"/>
      <c r="M386" s="632">
        <f>CCBASE!$I$6*B386/1000</f>
        <v>303.11863749999998</v>
      </c>
      <c r="N386" s="632">
        <f>CCBASE!$I$7*B386/1000</f>
        <v>78.855699999999999</v>
      </c>
      <c r="O386" s="632">
        <f>CCBASE!$I$45*B386/1000</f>
        <v>24.925000000000001</v>
      </c>
      <c r="P386" s="631"/>
      <c r="Q386" s="631"/>
      <c r="R386" s="632">
        <f>CCBASE!$I$4</f>
        <v>8.3986041999999994</v>
      </c>
      <c r="S386" s="637">
        <f>CCBASE!$I$8</f>
        <v>16.25526</v>
      </c>
      <c r="T386" s="631"/>
      <c r="U386" s="637">
        <f>CCBASE!$I$47*2</f>
        <v>28.82</v>
      </c>
      <c r="V386" s="631"/>
      <c r="W386" s="632">
        <f>CCBASE!$I$41*B386/1000</f>
        <v>147.62892499999998</v>
      </c>
      <c r="X386" s="632"/>
      <c r="Y386" s="632"/>
      <c r="Z386" s="632"/>
      <c r="AA386" s="632"/>
      <c r="AB386" s="632"/>
      <c r="AC386" s="632"/>
      <c r="AD386" s="637">
        <f>CCBASE!$I$33*2</f>
        <v>136.03372999999999</v>
      </c>
    </row>
    <row r="387" spans="1:30" x14ac:dyDescent="0.2">
      <c r="A387" s="630" t="s">
        <v>188</v>
      </c>
      <c r="B387" s="630">
        <v>2750</v>
      </c>
      <c r="C387" s="630">
        <v>1500</v>
      </c>
      <c r="D387" s="630" t="str">
        <f t="shared" ref="D387" si="157">A387&amp;B387&amp;C387</f>
        <v>CV-W-MUAP27501500</v>
      </c>
      <c r="E387" s="1046">
        <f t="shared" si="133"/>
        <v>1820.4826764749996</v>
      </c>
      <c r="F387" s="631">
        <v>19</v>
      </c>
      <c r="G387" s="632">
        <f>F387*CCBASE!$B$51</f>
        <v>684</v>
      </c>
      <c r="H387" s="632">
        <f>CCBASE!$I$17</f>
        <v>98.713171899999992</v>
      </c>
      <c r="I387" s="632">
        <f>(CCBASE!$I$20)/1000*B387</f>
        <v>238.28082162499999</v>
      </c>
      <c r="J387" s="632"/>
      <c r="K387" s="632"/>
      <c r="L387" s="632"/>
      <c r="M387" s="632">
        <f>CCBASE!$I$6*B387/1000</f>
        <v>333.43050124999991</v>
      </c>
      <c r="N387" s="632">
        <f>CCBASE!$I$7*B387/1000</f>
        <v>86.74127</v>
      </c>
      <c r="O387" s="632">
        <f>CCBASE!$I$45*B387/1000</f>
        <v>27.4175</v>
      </c>
      <c r="P387" s="631"/>
      <c r="Q387" s="631"/>
      <c r="R387" s="632">
        <f>CCBASE!$I$4</f>
        <v>8.3986041999999994</v>
      </c>
      <c r="S387" s="637">
        <f>CCBASE!$I$8</f>
        <v>16.25526</v>
      </c>
      <c r="T387" s="631"/>
      <c r="U387" s="637">
        <f>CCBASE!$I$47*2</f>
        <v>28.82</v>
      </c>
      <c r="V387" s="631"/>
      <c r="W387" s="632">
        <f>CCBASE!$I$41*B387/1000</f>
        <v>162.3918175</v>
      </c>
      <c r="X387" s="632"/>
      <c r="Y387" s="632"/>
      <c r="Z387" s="632"/>
      <c r="AA387" s="632"/>
      <c r="AB387" s="632"/>
      <c r="AC387" s="632"/>
      <c r="AD387" s="637">
        <f>CCBASE!$I$33*2</f>
        <v>136.03372999999999</v>
      </c>
    </row>
    <row r="388" spans="1:30" x14ac:dyDescent="0.2">
      <c r="A388" s="630" t="s">
        <v>188</v>
      </c>
      <c r="B388" s="630">
        <v>3000</v>
      </c>
      <c r="C388" s="630">
        <v>1500</v>
      </c>
      <c r="D388" s="630" t="str">
        <f t="shared" si="145"/>
        <v>CV-W-MUAP30001500</v>
      </c>
      <c r="E388" s="1046">
        <f t="shared" si="133"/>
        <v>1897.5973955999998</v>
      </c>
      <c r="F388" s="631">
        <v>19</v>
      </c>
      <c r="G388" s="632">
        <f>F388*CCBASE!$B$51</f>
        <v>684</v>
      </c>
      <c r="H388" s="632">
        <f>CCBASE!$I$17</f>
        <v>98.713171899999992</v>
      </c>
      <c r="I388" s="632">
        <f>(CCBASE!$I$20)/1000*B388</f>
        <v>259.94271449999997</v>
      </c>
      <c r="J388" s="632"/>
      <c r="K388" s="632"/>
      <c r="L388" s="632"/>
      <c r="M388" s="632">
        <f>CCBASE!$I$6*B388/1000</f>
        <v>363.74236499999995</v>
      </c>
      <c r="N388" s="632">
        <f>CCBASE!$I$7*B388/1000</f>
        <v>94.626840000000016</v>
      </c>
      <c r="O388" s="632">
        <f>CCBASE!$I$45*B388/1000</f>
        <v>29.910000000000004</v>
      </c>
      <c r="P388" s="631"/>
      <c r="Q388" s="631"/>
      <c r="R388" s="632">
        <f>CCBASE!$I$4</f>
        <v>8.3986041999999994</v>
      </c>
      <c r="S388" s="637">
        <f>CCBASE!$I$8</f>
        <v>16.25526</v>
      </c>
      <c r="T388" s="631"/>
      <c r="U388" s="637">
        <f>CCBASE!$I$47*2</f>
        <v>28.82</v>
      </c>
      <c r="V388" s="631"/>
      <c r="W388" s="632">
        <f>CCBASE!$I$41*B388/1000</f>
        <v>177.15470999999999</v>
      </c>
      <c r="X388" s="632"/>
      <c r="Y388" s="632"/>
      <c r="Z388" s="632"/>
      <c r="AA388" s="632"/>
      <c r="AB388" s="632"/>
      <c r="AC388" s="632"/>
      <c r="AD388" s="637">
        <f>CCBASE!$I$33*2</f>
        <v>136.03372999999999</v>
      </c>
    </row>
    <row r="389" spans="1:30" x14ac:dyDescent="0.2">
      <c r="A389" s="630" t="s">
        <v>188</v>
      </c>
      <c r="B389" s="630">
        <v>1000</v>
      </c>
      <c r="C389" s="630">
        <v>1750</v>
      </c>
      <c r="D389" s="630" t="str">
        <f t="shared" si="145"/>
        <v>CV-W-MUAP10001750</v>
      </c>
      <c r="E389" s="1046">
        <f t="shared" si="133"/>
        <v>1368.7283216999999</v>
      </c>
      <c r="F389" s="631">
        <v>18</v>
      </c>
      <c r="G389" s="632">
        <f>F389*CCBASE!$B$51</f>
        <v>648</v>
      </c>
      <c r="H389" s="632">
        <f>CCBASE!$I$18</f>
        <v>152.00290699999999</v>
      </c>
      <c r="I389" s="632">
        <f>(CCBASE!$I$20)/1000*B389</f>
        <v>86.647571499999998</v>
      </c>
      <c r="J389" s="632"/>
      <c r="K389" s="632"/>
      <c r="L389" s="632"/>
      <c r="M389" s="632">
        <f>CCBASE!$I$6*B389/1000</f>
        <v>121.24745499999997</v>
      </c>
      <c r="N389" s="632">
        <f>CCBASE!$I$7*B389/1000</f>
        <v>31.542280000000002</v>
      </c>
      <c r="O389" s="632">
        <f>CCBASE!$I$45*B389/1000</f>
        <v>9.9700000000000006</v>
      </c>
      <c r="P389" s="631"/>
      <c r="Q389" s="631"/>
      <c r="R389" s="632">
        <f>CCBASE!$I$4</f>
        <v>8.3986041999999994</v>
      </c>
      <c r="S389" s="637">
        <f>CCBASE!$I$8</f>
        <v>16.25526</v>
      </c>
      <c r="T389" s="631"/>
      <c r="U389" s="637">
        <f>CCBASE!$I$47</f>
        <v>14.41</v>
      </c>
      <c r="V389" s="631"/>
      <c r="W389" s="632">
        <f>CCBASE!$I$42*B389/1000</f>
        <v>70.880589999999998</v>
      </c>
      <c r="X389" s="632"/>
      <c r="Y389" s="632"/>
      <c r="Z389" s="632"/>
      <c r="AA389" s="632"/>
      <c r="AB389" s="632"/>
      <c r="AC389" s="632"/>
      <c r="AD389" s="637">
        <f>CCBASE!$I$34*2</f>
        <v>209.37365399999999</v>
      </c>
    </row>
    <row r="390" spans="1:30" x14ac:dyDescent="0.2">
      <c r="A390" s="630" t="s">
        <v>188</v>
      </c>
      <c r="B390" s="630">
        <v>1250</v>
      </c>
      <c r="C390" s="630">
        <v>1750</v>
      </c>
      <c r="D390" s="630" t="str">
        <f t="shared" ref="D390" si="158">A390&amp;B390&amp;C390</f>
        <v>CV-W-MUAP12501750</v>
      </c>
      <c r="E390" s="1046">
        <f t="shared" si="133"/>
        <v>1463.2102958249998</v>
      </c>
      <c r="F390" s="631">
        <v>18</v>
      </c>
      <c r="G390" s="632">
        <f>F390*CCBASE!$B$51</f>
        <v>648</v>
      </c>
      <c r="H390" s="632">
        <f>CCBASE!$I$18</f>
        <v>152.00290699999999</v>
      </c>
      <c r="I390" s="632">
        <f>(CCBASE!$I$20)/1000*B390</f>
        <v>108.30946437499999</v>
      </c>
      <c r="J390" s="632"/>
      <c r="K390" s="632"/>
      <c r="L390" s="632"/>
      <c r="M390" s="632">
        <f>CCBASE!$I$6*B390/1000</f>
        <v>151.55931874999999</v>
      </c>
      <c r="N390" s="632">
        <f>CCBASE!$I$7*B390/1000</f>
        <v>39.427849999999999</v>
      </c>
      <c r="O390" s="632">
        <f>CCBASE!$I$45*B390/1000</f>
        <v>12.4625</v>
      </c>
      <c r="P390" s="631"/>
      <c r="Q390" s="631"/>
      <c r="R390" s="632">
        <f>CCBASE!$I$4</f>
        <v>8.3986041999999994</v>
      </c>
      <c r="S390" s="637">
        <f>CCBASE!$I$8</f>
        <v>16.25526</v>
      </c>
      <c r="T390" s="631"/>
      <c r="U390" s="637">
        <f>CCBASE!$I$47*2</f>
        <v>28.82</v>
      </c>
      <c r="V390" s="631"/>
      <c r="W390" s="632">
        <f>CCBASE!$I$42*B390/1000</f>
        <v>88.600737500000008</v>
      </c>
      <c r="X390" s="632"/>
      <c r="Y390" s="632"/>
      <c r="Z390" s="632"/>
      <c r="AA390" s="632"/>
      <c r="AB390" s="632"/>
      <c r="AC390" s="632"/>
      <c r="AD390" s="637">
        <f>CCBASE!$I$34*2</f>
        <v>209.37365399999999</v>
      </c>
    </row>
    <row r="391" spans="1:30" x14ac:dyDescent="0.2">
      <c r="A391" s="630" t="s">
        <v>188</v>
      </c>
      <c r="B391" s="630">
        <v>1500</v>
      </c>
      <c r="C391" s="630">
        <v>1750</v>
      </c>
      <c r="D391" s="630" t="str">
        <f t="shared" si="145"/>
        <v>CV-W-MUAP15001750</v>
      </c>
      <c r="E391" s="1046">
        <f t="shared" si="133"/>
        <v>1543.2822699499998</v>
      </c>
      <c r="F391" s="631">
        <v>18</v>
      </c>
      <c r="G391" s="632">
        <f>F391*CCBASE!$B$51</f>
        <v>648</v>
      </c>
      <c r="H391" s="632">
        <f>CCBASE!$I$18</f>
        <v>152.00290699999999</v>
      </c>
      <c r="I391" s="632">
        <f>(CCBASE!$I$20)/1000*B391</f>
        <v>129.97135724999998</v>
      </c>
      <c r="J391" s="632"/>
      <c r="K391" s="632"/>
      <c r="L391" s="632"/>
      <c r="M391" s="632">
        <f>CCBASE!$I$6*B391/1000</f>
        <v>181.87118249999997</v>
      </c>
      <c r="N391" s="632">
        <f>CCBASE!$I$7*B391/1000</f>
        <v>47.313420000000008</v>
      </c>
      <c r="O391" s="632">
        <f>CCBASE!$I$45*B391/1000</f>
        <v>14.955000000000002</v>
      </c>
      <c r="P391" s="631"/>
      <c r="Q391" s="631"/>
      <c r="R391" s="632">
        <f>CCBASE!$I$4</f>
        <v>8.3986041999999994</v>
      </c>
      <c r="S391" s="637">
        <f>CCBASE!$I$8</f>
        <v>16.25526</v>
      </c>
      <c r="T391" s="631"/>
      <c r="U391" s="637">
        <f>CCBASE!$I$47*2</f>
        <v>28.82</v>
      </c>
      <c r="V391" s="631"/>
      <c r="W391" s="632">
        <f>CCBASE!$I$42*B391/1000</f>
        <v>106.32088499999999</v>
      </c>
      <c r="X391" s="632"/>
      <c r="Y391" s="632"/>
      <c r="Z391" s="632"/>
      <c r="AA391" s="632"/>
      <c r="AB391" s="632"/>
      <c r="AC391" s="632"/>
      <c r="AD391" s="637">
        <f>CCBASE!$I$34*2</f>
        <v>209.37365399999999</v>
      </c>
    </row>
    <row r="392" spans="1:30" x14ac:dyDescent="0.2">
      <c r="A392" s="630" t="s">
        <v>188</v>
      </c>
      <c r="B392" s="630">
        <v>1750</v>
      </c>
      <c r="C392" s="630">
        <v>1750</v>
      </c>
      <c r="D392" s="630" t="str">
        <f t="shared" ref="D392" si="159">A392&amp;B392&amp;C392</f>
        <v>CV-W-MUAP17501750</v>
      </c>
      <c r="E392" s="1046">
        <f t="shared" si="133"/>
        <v>1623.354244075</v>
      </c>
      <c r="F392" s="631">
        <v>18</v>
      </c>
      <c r="G392" s="632">
        <f>F392*CCBASE!$B$51</f>
        <v>648</v>
      </c>
      <c r="H392" s="632">
        <f>CCBASE!$I$18</f>
        <v>152.00290699999999</v>
      </c>
      <c r="I392" s="632">
        <f>(CCBASE!$I$20)/1000*B392</f>
        <v>151.63325012499999</v>
      </c>
      <c r="J392" s="632"/>
      <c r="K392" s="632"/>
      <c r="L392" s="632"/>
      <c r="M392" s="632">
        <f>CCBASE!$I$6*B392/1000</f>
        <v>212.18304624999996</v>
      </c>
      <c r="N392" s="632">
        <f>CCBASE!$I$7*B392/1000</f>
        <v>55.198990000000002</v>
      </c>
      <c r="O392" s="632">
        <f>CCBASE!$I$45*B392/1000</f>
        <v>17.447500000000002</v>
      </c>
      <c r="P392" s="631"/>
      <c r="Q392" s="631"/>
      <c r="R392" s="632">
        <f>CCBASE!$I$4</f>
        <v>8.3986041999999994</v>
      </c>
      <c r="S392" s="637">
        <f>CCBASE!$I$8</f>
        <v>16.25526</v>
      </c>
      <c r="T392" s="631"/>
      <c r="U392" s="637">
        <f>CCBASE!$I$47*2</f>
        <v>28.82</v>
      </c>
      <c r="V392" s="631"/>
      <c r="W392" s="632">
        <f>CCBASE!$I$42*B392/1000</f>
        <v>124.0410325</v>
      </c>
      <c r="X392" s="632"/>
      <c r="Y392" s="632"/>
      <c r="Z392" s="632"/>
      <c r="AA392" s="632"/>
      <c r="AB392" s="632"/>
      <c r="AC392" s="632"/>
      <c r="AD392" s="637">
        <f>CCBASE!$I$34*2</f>
        <v>209.37365399999999</v>
      </c>
    </row>
    <row r="393" spans="1:30" x14ac:dyDescent="0.2">
      <c r="A393" s="630" t="s">
        <v>188</v>
      </c>
      <c r="B393" s="630">
        <v>2000</v>
      </c>
      <c r="C393" s="630">
        <v>1750</v>
      </c>
      <c r="D393" s="630" t="str">
        <f t="shared" si="145"/>
        <v>CV-W-MUAP20001750</v>
      </c>
      <c r="E393" s="1046">
        <f t="shared" si="133"/>
        <v>1703.4262181999998</v>
      </c>
      <c r="F393" s="631">
        <v>18</v>
      </c>
      <c r="G393" s="632">
        <f>F393*CCBASE!$B$51</f>
        <v>648</v>
      </c>
      <c r="H393" s="632">
        <f>CCBASE!$I$18</f>
        <v>152.00290699999999</v>
      </c>
      <c r="I393" s="632">
        <f>(CCBASE!$I$20)/1000*B393</f>
        <v>173.295143</v>
      </c>
      <c r="J393" s="632"/>
      <c r="K393" s="632"/>
      <c r="L393" s="632"/>
      <c r="M393" s="632">
        <f>CCBASE!$I$6*B393/1000</f>
        <v>242.49490999999995</v>
      </c>
      <c r="N393" s="632">
        <f>CCBASE!$I$7*B393/1000</f>
        <v>63.084560000000003</v>
      </c>
      <c r="O393" s="632">
        <f>CCBASE!$I$45*B393/1000</f>
        <v>19.940000000000001</v>
      </c>
      <c r="P393" s="631"/>
      <c r="Q393" s="631"/>
      <c r="R393" s="632">
        <f>CCBASE!$I$4</f>
        <v>8.3986041999999994</v>
      </c>
      <c r="S393" s="637">
        <f>CCBASE!$I$8</f>
        <v>16.25526</v>
      </c>
      <c r="T393" s="631"/>
      <c r="U393" s="637">
        <f>CCBASE!$I$47*2</f>
        <v>28.82</v>
      </c>
      <c r="V393" s="631"/>
      <c r="W393" s="632">
        <f>CCBASE!$I$42*B393/1000</f>
        <v>141.76118</v>
      </c>
      <c r="X393" s="632"/>
      <c r="Y393" s="632"/>
      <c r="Z393" s="632"/>
      <c r="AA393" s="632"/>
      <c r="AB393" s="632"/>
      <c r="AC393" s="632"/>
      <c r="AD393" s="637">
        <f>CCBASE!$I$34*2</f>
        <v>209.37365399999999</v>
      </c>
    </row>
    <row r="394" spans="1:30" x14ac:dyDescent="0.2">
      <c r="A394" s="630" t="s">
        <v>188</v>
      </c>
      <c r="B394" s="630">
        <v>2250</v>
      </c>
      <c r="C394" s="630">
        <v>1750</v>
      </c>
      <c r="D394" s="630" t="str">
        <f t="shared" ref="D394" si="160">A394&amp;B394&amp;C394</f>
        <v>CV-W-MUAP22501750</v>
      </c>
      <c r="E394" s="1046">
        <f t="shared" si="133"/>
        <v>1819.4981923249993</v>
      </c>
      <c r="F394" s="631">
        <v>19</v>
      </c>
      <c r="G394" s="632">
        <f>F394*CCBASE!$B$51</f>
        <v>684</v>
      </c>
      <c r="H394" s="632">
        <f>CCBASE!$I$18</f>
        <v>152.00290699999999</v>
      </c>
      <c r="I394" s="632">
        <f>(CCBASE!$I$20)/1000*B394</f>
        <v>194.95703587499997</v>
      </c>
      <c r="J394" s="632"/>
      <c r="K394" s="632"/>
      <c r="L394" s="632"/>
      <c r="M394" s="632">
        <f>CCBASE!$I$6*B394/1000</f>
        <v>272.80677374999993</v>
      </c>
      <c r="N394" s="632">
        <f>CCBASE!$I$7*B394/1000</f>
        <v>70.970130000000012</v>
      </c>
      <c r="O394" s="632">
        <f>CCBASE!$I$45*B394/1000</f>
        <v>22.432500000000001</v>
      </c>
      <c r="P394" s="631"/>
      <c r="Q394" s="631"/>
      <c r="R394" s="632">
        <f>CCBASE!$I$4</f>
        <v>8.3986041999999994</v>
      </c>
      <c r="S394" s="637">
        <f>CCBASE!$I$8</f>
        <v>16.25526</v>
      </c>
      <c r="T394" s="631"/>
      <c r="U394" s="637">
        <f>CCBASE!$I$47*2</f>
        <v>28.82</v>
      </c>
      <c r="V394" s="631"/>
      <c r="W394" s="632">
        <f>CCBASE!$I$42*B394/1000</f>
        <v>159.48132749999999</v>
      </c>
      <c r="X394" s="632"/>
      <c r="Y394" s="632"/>
      <c r="Z394" s="632"/>
      <c r="AA394" s="632"/>
      <c r="AB394" s="632"/>
      <c r="AC394" s="632"/>
      <c r="AD394" s="637">
        <f>CCBASE!$I$34*2</f>
        <v>209.37365399999999</v>
      </c>
    </row>
    <row r="395" spans="1:30" x14ac:dyDescent="0.2">
      <c r="A395" s="630" t="s">
        <v>188</v>
      </c>
      <c r="B395" s="630">
        <v>2500</v>
      </c>
      <c r="C395" s="630">
        <v>1750</v>
      </c>
      <c r="D395" s="630" t="str">
        <f t="shared" si="145"/>
        <v>CV-W-MUAP25001750</v>
      </c>
      <c r="E395" s="1046">
        <f t="shared" si="133"/>
        <v>1924.4951664499997</v>
      </c>
      <c r="F395" s="631">
        <v>19</v>
      </c>
      <c r="G395" s="632">
        <f>F395*CCBASE!$B$51</f>
        <v>684</v>
      </c>
      <c r="H395" s="632">
        <f>CCBASE!$I$18</f>
        <v>152.00290699999999</v>
      </c>
      <c r="I395" s="632">
        <f>(CCBASE!$I$20)/1000*B395</f>
        <v>216.61892874999998</v>
      </c>
      <c r="J395" s="632"/>
      <c r="K395" s="632"/>
      <c r="L395" s="632"/>
      <c r="M395" s="632">
        <f>CCBASE!$I$6*B395/1000</f>
        <v>303.11863749999998</v>
      </c>
      <c r="N395" s="632">
        <f>CCBASE!$I$7*B395/1000</f>
        <v>78.855699999999999</v>
      </c>
      <c r="O395" s="632">
        <f>CCBASE!$I$45*B395/1000*2</f>
        <v>49.85</v>
      </c>
      <c r="P395" s="631"/>
      <c r="Q395" s="631"/>
      <c r="R395" s="632">
        <f>CCBASE!$I$4</f>
        <v>8.3986041999999994</v>
      </c>
      <c r="S395" s="637">
        <f>CCBASE!$I$8</f>
        <v>16.25526</v>
      </c>
      <c r="T395" s="631"/>
      <c r="U395" s="637">
        <f>CCBASE!$I$47*2</f>
        <v>28.82</v>
      </c>
      <c r="V395" s="631"/>
      <c r="W395" s="632">
        <f>CCBASE!$I$42*B395/1000</f>
        <v>177.20147500000002</v>
      </c>
      <c r="X395" s="632"/>
      <c r="Y395" s="632"/>
      <c r="Z395" s="632"/>
      <c r="AA395" s="632"/>
      <c r="AB395" s="632"/>
      <c r="AC395" s="632"/>
      <c r="AD395" s="637">
        <f>CCBASE!$I$34*2</f>
        <v>209.37365399999999</v>
      </c>
    </row>
    <row r="396" spans="1:30" x14ac:dyDescent="0.2">
      <c r="A396" s="630" t="s">
        <v>188</v>
      </c>
      <c r="B396" s="630">
        <v>2750</v>
      </c>
      <c r="C396" s="630">
        <v>1750</v>
      </c>
      <c r="D396" s="630" t="str">
        <f t="shared" ref="D396" si="161">A396&amp;B396&amp;C396</f>
        <v>CV-W-MUAP27501750</v>
      </c>
      <c r="E396" s="1046">
        <f t="shared" si="133"/>
        <v>2007.0596405749998</v>
      </c>
      <c r="F396" s="631">
        <v>19</v>
      </c>
      <c r="G396" s="632">
        <f>F396*CCBASE!$B$51</f>
        <v>684</v>
      </c>
      <c r="H396" s="632">
        <f>CCBASE!$I$18</f>
        <v>152.00290699999999</v>
      </c>
      <c r="I396" s="632">
        <f>(CCBASE!$I$20)/1000*B396</f>
        <v>238.28082162499999</v>
      </c>
      <c r="J396" s="632"/>
      <c r="K396" s="632"/>
      <c r="L396" s="632"/>
      <c r="M396" s="632">
        <f>CCBASE!$I$6*B396/1000</f>
        <v>333.43050124999991</v>
      </c>
      <c r="N396" s="632">
        <f>CCBASE!$I$7*B396/1000</f>
        <v>86.74127</v>
      </c>
      <c r="O396" s="632">
        <f>CCBASE!$I$45*B396/1000*2</f>
        <v>54.835000000000001</v>
      </c>
      <c r="P396" s="631"/>
      <c r="Q396" s="631"/>
      <c r="R396" s="632">
        <f>CCBASE!$I$4</f>
        <v>8.3986041999999994</v>
      </c>
      <c r="S396" s="637">
        <f>CCBASE!$I$8</f>
        <v>16.25526</v>
      </c>
      <c r="T396" s="631"/>
      <c r="U396" s="637">
        <f>CCBASE!$I$47*2</f>
        <v>28.82</v>
      </c>
      <c r="V396" s="631"/>
      <c r="W396" s="632">
        <f>CCBASE!$I$42*B396/1000</f>
        <v>194.92162249999998</v>
      </c>
      <c r="X396" s="632"/>
      <c r="Y396" s="632"/>
      <c r="Z396" s="632"/>
      <c r="AA396" s="632"/>
      <c r="AB396" s="632"/>
      <c r="AC396" s="632"/>
      <c r="AD396" s="637">
        <f>CCBASE!$I$34*2</f>
        <v>209.37365399999999</v>
      </c>
    </row>
    <row r="397" spans="1:30" x14ac:dyDescent="0.2">
      <c r="A397" s="630" t="s">
        <v>188</v>
      </c>
      <c r="B397" s="630">
        <v>3000</v>
      </c>
      <c r="C397" s="630">
        <v>1750</v>
      </c>
      <c r="D397" s="630" t="str">
        <f t="shared" si="145"/>
        <v>CV-W-MUAP30001750</v>
      </c>
      <c r="E397" s="1046">
        <f t="shared" si="133"/>
        <v>2089.6241146999996</v>
      </c>
      <c r="F397" s="631">
        <v>19</v>
      </c>
      <c r="G397" s="632">
        <f>F397*CCBASE!$B$51</f>
        <v>684</v>
      </c>
      <c r="H397" s="632">
        <f>CCBASE!$I$18</f>
        <v>152.00290699999999</v>
      </c>
      <c r="I397" s="632">
        <f>(CCBASE!$I$20)/1000*B397</f>
        <v>259.94271449999997</v>
      </c>
      <c r="J397" s="632"/>
      <c r="K397" s="632"/>
      <c r="L397" s="632"/>
      <c r="M397" s="632">
        <f>CCBASE!$I$6*B397/1000</f>
        <v>363.74236499999995</v>
      </c>
      <c r="N397" s="632">
        <f>CCBASE!$I$7*B397/1000</f>
        <v>94.626840000000016</v>
      </c>
      <c r="O397" s="632">
        <f>CCBASE!$I$45*B397/1000*2</f>
        <v>59.820000000000007</v>
      </c>
      <c r="P397" s="631"/>
      <c r="Q397" s="631"/>
      <c r="R397" s="632">
        <f>CCBASE!$I$4</f>
        <v>8.3986041999999994</v>
      </c>
      <c r="S397" s="637">
        <f>CCBASE!$I$8</f>
        <v>16.25526</v>
      </c>
      <c r="T397" s="631"/>
      <c r="U397" s="637">
        <f>CCBASE!$I$47*2</f>
        <v>28.82</v>
      </c>
      <c r="V397" s="631"/>
      <c r="W397" s="632">
        <f>CCBASE!$I$42*B397/1000</f>
        <v>212.64176999999998</v>
      </c>
      <c r="X397" s="632"/>
      <c r="Y397" s="632"/>
      <c r="Z397" s="632"/>
      <c r="AA397" s="632"/>
      <c r="AB397" s="632"/>
      <c r="AC397" s="632"/>
      <c r="AD397" s="637">
        <f>CCBASE!$I$34*2</f>
        <v>209.37365399999999</v>
      </c>
    </row>
    <row r="398" spans="1:30" x14ac:dyDescent="0.2">
      <c r="A398" s="630" t="s">
        <v>189</v>
      </c>
      <c r="B398" s="630">
        <v>1000</v>
      </c>
      <c r="C398" s="630">
        <v>2500</v>
      </c>
      <c r="D398" s="630" t="str">
        <f t="shared" ref="D398:D406" si="162">A398&amp;B398&amp;C398</f>
        <v>CV-I-MUAP10002500</v>
      </c>
      <c r="E398" s="1046">
        <f t="shared" si="133"/>
        <v>1998.81400534</v>
      </c>
      <c r="F398" s="631">
        <v>27</v>
      </c>
      <c r="G398" s="632">
        <f>F398*CCBASE!$B$51</f>
        <v>972</v>
      </c>
      <c r="H398" s="632">
        <f>CCBASE!$I$16*2</f>
        <v>158.00022014000001</v>
      </c>
      <c r="I398" s="632">
        <f>(CCBASE!$I$20)/1000*2*B398</f>
        <v>173.295143</v>
      </c>
      <c r="J398" s="632"/>
      <c r="K398" s="632"/>
      <c r="L398" s="632"/>
      <c r="M398" s="632">
        <f>CCBASE!$I$6*B398/1000*2</f>
        <v>242.49490999999995</v>
      </c>
      <c r="N398" s="632">
        <f>CCBASE!$I$7*B398/1000*2</f>
        <v>63.084560000000003</v>
      </c>
      <c r="O398" s="632">
        <f>CCBASE!$I$45*B398/1000*2</f>
        <v>19.940000000000001</v>
      </c>
      <c r="P398" s="631"/>
      <c r="Q398" s="631"/>
      <c r="R398" s="632">
        <f>CCBASE!$I$4</f>
        <v>8.3986041999999994</v>
      </c>
      <c r="S398" s="637">
        <f>CCBASE!$I$8*2</f>
        <v>32.51052</v>
      </c>
      <c r="T398" s="631"/>
      <c r="U398" s="637">
        <f>CCBASE!$I$47*2</f>
        <v>28.82</v>
      </c>
      <c r="V398" s="631"/>
      <c r="W398" s="637">
        <f>CCBASE!$I$40*B398/1000*2</f>
        <v>82.616079999999997</v>
      </c>
      <c r="X398" s="637"/>
      <c r="Y398" s="637"/>
      <c r="Z398" s="637"/>
      <c r="AA398" s="637"/>
      <c r="AB398" s="637"/>
      <c r="AC398" s="637"/>
      <c r="AD398" s="637">
        <f>CCBASE!$I$32*4</f>
        <v>217.65396799999999</v>
      </c>
    </row>
    <row r="399" spans="1:30" x14ac:dyDescent="0.2">
      <c r="A399" s="630" t="s">
        <v>189</v>
      </c>
      <c r="B399" s="630">
        <v>1250</v>
      </c>
      <c r="C399" s="630">
        <v>2500</v>
      </c>
      <c r="D399" s="630" t="str">
        <f t="shared" ref="D399" si="163">A399&amp;B399&amp;C399</f>
        <v>CV-I-MUAP12502500</v>
      </c>
      <c r="E399" s="1046">
        <f t="shared" si="133"/>
        <v>2172.99167859</v>
      </c>
      <c r="F399" s="631">
        <v>27</v>
      </c>
      <c r="G399" s="632">
        <f>F399*CCBASE!$B$51</f>
        <v>972</v>
      </c>
      <c r="H399" s="632">
        <f>CCBASE!$I$16*2</f>
        <v>158.00022014000001</v>
      </c>
      <c r="I399" s="632">
        <f>(CCBASE!$I$20)/1000*2*B399</f>
        <v>216.61892874999998</v>
      </c>
      <c r="J399" s="632"/>
      <c r="K399" s="632"/>
      <c r="L399" s="632"/>
      <c r="M399" s="632">
        <f>CCBASE!$I$6*B399/1000*2</f>
        <v>303.11863749999998</v>
      </c>
      <c r="N399" s="632">
        <f>CCBASE!$I$7*B399/1000*2</f>
        <v>78.855699999999999</v>
      </c>
      <c r="O399" s="632">
        <f>CCBASE!$I$45*B399/1000*2</f>
        <v>24.925000000000001</v>
      </c>
      <c r="P399" s="631"/>
      <c r="Q399" s="631"/>
      <c r="R399" s="632">
        <f>CCBASE!$I$4</f>
        <v>8.3986041999999994</v>
      </c>
      <c r="S399" s="637">
        <f>CCBASE!$I$8*2</f>
        <v>32.51052</v>
      </c>
      <c r="T399" s="631"/>
      <c r="U399" s="632">
        <f>CCBASE!$I$47*4</f>
        <v>57.64</v>
      </c>
      <c r="V399" s="631"/>
      <c r="W399" s="637">
        <f>CCBASE!$I$40*B399/1000*2</f>
        <v>103.27009999999999</v>
      </c>
      <c r="X399" s="637"/>
      <c r="Y399" s="637"/>
      <c r="Z399" s="637"/>
      <c r="AA399" s="637"/>
      <c r="AB399" s="637"/>
      <c r="AC399" s="637"/>
      <c r="AD399" s="637">
        <f>CCBASE!$I$32*4</f>
        <v>217.65396799999999</v>
      </c>
    </row>
    <row r="400" spans="1:30" x14ac:dyDescent="0.2">
      <c r="A400" s="630" t="s">
        <v>189</v>
      </c>
      <c r="B400" s="630">
        <v>1500</v>
      </c>
      <c r="C400" s="630">
        <v>2500</v>
      </c>
      <c r="D400" s="630" t="str">
        <f t="shared" si="162"/>
        <v>CV-I-MUAP15002500</v>
      </c>
      <c r="E400" s="1046">
        <f t="shared" si="133"/>
        <v>2318.3493518400001</v>
      </c>
      <c r="F400" s="631">
        <v>27</v>
      </c>
      <c r="G400" s="632">
        <f>F400*CCBASE!$B$51</f>
        <v>972</v>
      </c>
      <c r="H400" s="632">
        <f>CCBASE!$I$16*2</f>
        <v>158.00022014000001</v>
      </c>
      <c r="I400" s="632">
        <f>(CCBASE!$I$20)/1000*2*B400</f>
        <v>259.94271449999997</v>
      </c>
      <c r="J400" s="632"/>
      <c r="K400" s="632"/>
      <c r="L400" s="632"/>
      <c r="M400" s="632">
        <f>CCBASE!$I$6*B400/1000*2</f>
        <v>363.74236499999995</v>
      </c>
      <c r="N400" s="632">
        <f>CCBASE!$I$7*B400/1000*2</f>
        <v>94.626840000000016</v>
      </c>
      <c r="O400" s="632">
        <f>CCBASE!$I$45*B400/1000*2</f>
        <v>29.910000000000004</v>
      </c>
      <c r="P400" s="631"/>
      <c r="Q400" s="631"/>
      <c r="R400" s="632">
        <f>CCBASE!$I$4</f>
        <v>8.3986041999999994</v>
      </c>
      <c r="S400" s="637">
        <f>CCBASE!$I$8*2</f>
        <v>32.51052</v>
      </c>
      <c r="T400" s="631"/>
      <c r="U400" s="632">
        <f>CCBASE!$I$47*4</f>
        <v>57.64</v>
      </c>
      <c r="V400" s="631"/>
      <c r="W400" s="637">
        <f>CCBASE!$I$40*B400/1000*2</f>
        <v>123.92412</v>
      </c>
      <c r="X400" s="637"/>
      <c r="Y400" s="637"/>
      <c r="Z400" s="637"/>
      <c r="AA400" s="637"/>
      <c r="AB400" s="637"/>
      <c r="AC400" s="637"/>
      <c r="AD400" s="637">
        <f>CCBASE!$I$32*4</f>
        <v>217.65396799999999</v>
      </c>
    </row>
    <row r="401" spans="1:45" x14ac:dyDescent="0.2">
      <c r="A401" s="630" t="s">
        <v>189</v>
      </c>
      <c r="B401" s="630">
        <v>1750</v>
      </c>
      <c r="C401" s="630">
        <v>2500</v>
      </c>
      <c r="D401" s="630" t="str">
        <f t="shared" ref="D401" si="164">A401&amp;B401&amp;C401</f>
        <v>CV-I-MUAP17502500</v>
      </c>
      <c r="E401" s="1046">
        <f t="shared" si="133"/>
        <v>2463.7070250900001</v>
      </c>
      <c r="F401" s="631">
        <v>27</v>
      </c>
      <c r="G401" s="632">
        <f>F401*CCBASE!$B$51</f>
        <v>972</v>
      </c>
      <c r="H401" s="632">
        <f>CCBASE!$I$16*2</f>
        <v>158.00022014000001</v>
      </c>
      <c r="I401" s="632">
        <f>(CCBASE!$I$20)/1000*2*B401</f>
        <v>303.26650024999998</v>
      </c>
      <c r="J401" s="632"/>
      <c r="K401" s="632"/>
      <c r="L401" s="632"/>
      <c r="M401" s="632">
        <f>CCBASE!$I$6*B401/1000*2</f>
        <v>424.36609249999992</v>
      </c>
      <c r="N401" s="632">
        <f>CCBASE!$I$7*B401/1000*2</f>
        <v>110.39798</v>
      </c>
      <c r="O401" s="632">
        <f>CCBASE!$I$45*B401/1000*2</f>
        <v>34.895000000000003</v>
      </c>
      <c r="P401" s="631"/>
      <c r="Q401" s="631"/>
      <c r="R401" s="632">
        <f>CCBASE!$I$4</f>
        <v>8.3986041999999994</v>
      </c>
      <c r="S401" s="637">
        <f>CCBASE!$I$8*2</f>
        <v>32.51052</v>
      </c>
      <c r="T401" s="631"/>
      <c r="U401" s="632">
        <f>CCBASE!$I$47*4</f>
        <v>57.64</v>
      </c>
      <c r="V401" s="631"/>
      <c r="W401" s="637">
        <f>CCBASE!$I$40*B401/1000*2</f>
        <v>144.57813999999999</v>
      </c>
      <c r="X401" s="637"/>
      <c r="Y401" s="637"/>
      <c r="Z401" s="637"/>
      <c r="AA401" s="637"/>
      <c r="AB401" s="637"/>
      <c r="AC401" s="637"/>
      <c r="AD401" s="637">
        <f>CCBASE!$I$32*4</f>
        <v>217.65396799999999</v>
      </c>
    </row>
    <row r="402" spans="1:45" x14ac:dyDescent="0.2">
      <c r="A402" s="630" t="s">
        <v>189</v>
      </c>
      <c r="B402" s="630">
        <v>2000</v>
      </c>
      <c r="C402" s="630">
        <v>2500</v>
      </c>
      <c r="D402" s="630" t="str">
        <f t="shared" si="162"/>
        <v>CV-I-MUAP20002500</v>
      </c>
      <c r="E402" s="1046">
        <f t="shared" si="133"/>
        <v>2609.0646983399997</v>
      </c>
      <c r="F402" s="631">
        <v>27</v>
      </c>
      <c r="G402" s="632">
        <f>F402*CCBASE!$B$51</f>
        <v>972</v>
      </c>
      <c r="H402" s="632">
        <f>CCBASE!$I$16*2</f>
        <v>158.00022014000001</v>
      </c>
      <c r="I402" s="632">
        <f>(CCBASE!$I$20)/1000*2*B402</f>
        <v>346.59028599999999</v>
      </c>
      <c r="J402" s="632"/>
      <c r="K402" s="632"/>
      <c r="L402" s="632"/>
      <c r="M402" s="632">
        <f>CCBASE!$I$6*B402/1000*2</f>
        <v>484.9898199999999</v>
      </c>
      <c r="N402" s="632">
        <f>CCBASE!$I$7*B402/1000*2</f>
        <v>126.16912000000001</v>
      </c>
      <c r="O402" s="632">
        <f>CCBASE!$I$45*B402/1000*2</f>
        <v>39.880000000000003</v>
      </c>
      <c r="P402" s="631"/>
      <c r="Q402" s="631"/>
      <c r="R402" s="632">
        <f>CCBASE!$I$4</f>
        <v>8.3986041999999994</v>
      </c>
      <c r="S402" s="637">
        <f>CCBASE!$I$8*2</f>
        <v>32.51052</v>
      </c>
      <c r="T402" s="631"/>
      <c r="U402" s="632">
        <f>CCBASE!$I$47*4</f>
        <v>57.64</v>
      </c>
      <c r="V402" s="631"/>
      <c r="W402" s="637">
        <f>CCBASE!$I$40*B402/1000*2</f>
        <v>165.23215999999999</v>
      </c>
      <c r="X402" s="637"/>
      <c r="Y402" s="637"/>
      <c r="Z402" s="637"/>
      <c r="AA402" s="637"/>
      <c r="AB402" s="637"/>
      <c r="AC402" s="637"/>
      <c r="AD402" s="637">
        <f>CCBASE!$I$32*4</f>
        <v>217.65396799999999</v>
      </c>
    </row>
    <row r="403" spans="1:45" x14ac:dyDescent="0.2">
      <c r="A403" s="630" t="s">
        <v>189</v>
      </c>
      <c r="B403" s="630">
        <v>2250</v>
      </c>
      <c r="C403" s="630">
        <v>2500</v>
      </c>
      <c r="D403" s="630" t="str">
        <f t="shared" ref="D403" si="165">A403&amp;B403&amp;C403</f>
        <v>CV-I-MUAP22502500</v>
      </c>
      <c r="E403" s="1046">
        <f t="shared" si="133"/>
        <v>2754.4223715899993</v>
      </c>
      <c r="F403" s="631">
        <v>27</v>
      </c>
      <c r="G403" s="632">
        <f>F403*CCBASE!$B$51</f>
        <v>972</v>
      </c>
      <c r="H403" s="632">
        <f>CCBASE!$I$16*2</f>
        <v>158.00022014000001</v>
      </c>
      <c r="I403" s="632">
        <f>(CCBASE!$I$20)/1000*2*B403</f>
        <v>389.91407174999995</v>
      </c>
      <c r="J403" s="632"/>
      <c r="K403" s="632"/>
      <c r="L403" s="632"/>
      <c r="M403" s="632">
        <f>CCBASE!$I$6*B403/1000*2</f>
        <v>545.61354749999987</v>
      </c>
      <c r="N403" s="632">
        <f>CCBASE!$I$7*B403/1000*2</f>
        <v>141.94026000000002</v>
      </c>
      <c r="O403" s="632">
        <f>CCBASE!$I$45*B403/1000*2</f>
        <v>44.865000000000002</v>
      </c>
      <c r="P403" s="631"/>
      <c r="Q403" s="631"/>
      <c r="R403" s="632">
        <f>CCBASE!$I$4</f>
        <v>8.3986041999999994</v>
      </c>
      <c r="S403" s="637">
        <f>CCBASE!$I$8*2</f>
        <v>32.51052</v>
      </c>
      <c r="T403" s="631"/>
      <c r="U403" s="632">
        <f>CCBASE!$I$47*4</f>
        <v>57.64</v>
      </c>
      <c r="V403" s="631"/>
      <c r="W403" s="637">
        <f>CCBASE!$I$40*B403/1000*2</f>
        <v>185.88618</v>
      </c>
      <c r="X403" s="637"/>
      <c r="Y403" s="637"/>
      <c r="Z403" s="637"/>
      <c r="AA403" s="637"/>
      <c r="AB403" s="637"/>
      <c r="AC403" s="637"/>
      <c r="AD403" s="637">
        <f>CCBASE!$I$32*4</f>
        <v>217.65396799999999</v>
      </c>
    </row>
    <row r="404" spans="1:45" x14ac:dyDescent="0.2">
      <c r="A404" s="630" t="s">
        <v>189</v>
      </c>
      <c r="B404" s="630">
        <v>2500</v>
      </c>
      <c r="C404" s="630">
        <v>2500</v>
      </c>
      <c r="D404" s="630" t="str">
        <f t="shared" si="162"/>
        <v>CV-I-MUAP25002500</v>
      </c>
      <c r="E404" s="1046">
        <f t="shared" si="133"/>
        <v>2899.7800448399998</v>
      </c>
      <c r="F404" s="631">
        <v>27</v>
      </c>
      <c r="G404" s="632">
        <f>F404*CCBASE!$B$51</f>
        <v>972</v>
      </c>
      <c r="H404" s="632">
        <f>CCBASE!$I$16*2</f>
        <v>158.00022014000001</v>
      </c>
      <c r="I404" s="632">
        <f>(CCBASE!$I$20)/1000*2*B404</f>
        <v>433.23785749999996</v>
      </c>
      <c r="J404" s="632"/>
      <c r="K404" s="632"/>
      <c r="L404" s="632"/>
      <c r="M404" s="632">
        <f>CCBASE!$I$6*B404/1000*2</f>
        <v>606.23727499999995</v>
      </c>
      <c r="N404" s="632">
        <f>CCBASE!$I$7*B404/1000*2</f>
        <v>157.7114</v>
      </c>
      <c r="O404" s="632">
        <f>CCBASE!$I$45*B404/1000*2</f>
        <v>49.85</v>
      </c>
      <c r="P404" s="631"/>
      <c r="Q404" s="631"/>
      <c r="R404" s="632">
        <f>CCBASE!$I$4</f>
        <v>8.3986041999999994</v>
      </c>
      <c r="S404" s="637">
        <f>CCBASE!$I$8*2</f>
        <v>32.51052</v>
      </c>
      <c r="T404" s="631"/>
      <c r="U404" s="632">
        <f>CCBASE!$I$47*4</f>
        <v>57.64</v>
      </c>
      <c r="V404" s="631"/>
      <c r="W404" s="637">
        <f>CCBASE!$I$40*B404/1000*2</f>
        <v>206.54019999999997</v>
      </c>
      <c r="X404" s="637"/>
      <c r="Y404" s="637"/>
      <c r="Z404" s="637"/>
      <c r="AA404" s="637"/>
      <c r="AB404" s="637"/>
      <c r="AC404" s="637"/>
      <c r="AD404" s="637">
        <f>CCBASE!$I$32*4</f>
        <v>217.65396799999999</v>
      </c>
    </row>
    <row r="405" spans="1:45" x14ac:dyDescent="0.2">
      <c r="A405" s="630" t="s">
        <v>189</v>
      </c>
      <c r="B405" s="630">
        <v>2750</v>
      </c>
      <c r="C405" s="630">
        <v>2500</v>
      </c>
      <c r="D405" s="630" t="str">
        <f t="shared" ref="D405" si="166">A405&amp;B405&amp;C405</f>
        <v>CV-I-MUAP27502500</v>
      </c>
      <c r="E405" s="1046">
        <f t="shared" ref="E405:E468" si="167">SUM(G405:AD405)</f>
        <v>3045.1377180899995</v>
      </c>
      <c r="F405" s="631">
        <v>27</v>
      </c>
      <c r="G405" s="632">
        <f>F405*CCBASE!$B$51</f>
        <v>972</v>
      </c>
      <c r="H405" s="632">
        <f>CCBASE!$I$16*2</f>
        <v>158.00022014000001</v>
      </c>
      <c r="I405" s="632">
        <f>(CCBASE!$I$20)/1000*2*B405</f>
        <v>476.56164324999997</v>
      </c>
      <c r="J405" s="632"/>
      <c r="K405" s="632"/>
      <c r="L405" s="632"/>
      <c r="M405" s="632">
        <f>CCBASE!$I$6*B405/1000*2</f>
        <v>666.86100249999981</v>
      </c>
      <c r="N405" s="632">
        <f>CCBASE!$I$7*B405/1000*2</f>
        <v>173.48254</v>
      </c>
      <c r="O405" s="632">
        <f>CCBASE!$I$45*B405/1000*2</f>
        <v>54.835000000000001</v>
      </c>
      <c r="P405" s="631"/>
      <c r="Q405" s="631"/>
      <c r="R405" s="632">
        <f>CCBASE!$I$4</f>
        <v>8.3986041999999994</v>
      </c>
      <c r="S405" s="637">
        <f>CCBASE!$I$8*2</f>
        <v>32.51052</v>
      </c>
      <c r="T405" s="631"/>
      <c r="U405" s="632">
        <f>CCBASE!$I$47*4</f>
        <v>57.64</v>
      </c>
      <c r="V405" s="631"/>
      <c r="W405" s="637">
        <f>CCBASE!$I$40*B405/1000*2</f>
        <v>227.19422</v>
      </c>
      <c r="X405" s="637"/>
      <c r="Y405" s="637"/>
      <c r="Z405" s="637"/>
      <c r="AA405" s="637"/>
      <c r="AB405" s="637"/>
      <c r="AC405" s="637"/>
      <c r="AD405" s="637">
        <f>CCBASE!$I$32*4</f>
        <v>217.65396799999999</v>
      </c>
    </row>
    <row r="406" spans="1:45" x14ac:dyDescent="0.2">
      <c r="A406" s="630" t="s">
        <v>189</v>
      </c>
      <c r="B406" s="630">
        <v>3000</v>
      </c>
      <c r="C406" s="630">
        <v>2500</v>
      </c>
      <c r="D406" s="630" t="str">
        <f t="shared" si="162"/>
        <v>CV-I-MUAP30002500</v>
      </c>
      <c r="E406" s="1046">
        <f t="shared" si="167"/>
        <v>3190.49539134</v>
      </c>
      <c r="F406" s="631">
        <v>27</v>
      </c>
      <c r="G406" s="632">
        <f>F406*CCBASE!$B$51</f>
        <v>972</v>
      </c>
      <c r="H406" s="632">
        <f>CCBASE!$I$16*2</f>
        <v>158.00022014000001</v>
      </c>
      <c r="I406" s="632">
        <f>(CCBASE!$I$20)/1000*2*B406</f>
        <v>519.88542899999993</v>
      </c>
      <c r="J406" s="632"/>
      <c r="K406" s="632"/>
      <c r="L406" s="632"/>
      <c r="M406" s="632">
        <f>CCBASE!$I$6*B406/1000*2</f>
        <v>727.4847299999999</v>
      </c>
      <c r="N406" s="632">
        <f>CCBASE!$I$7*B406/1000*2</f>
        <v>189.25368000000003</v>
      </c>
      <c r="O406" s="632">
        <f>CCBASE!$I$45*B406/1000*2</f>
        <v>59.820000000000007</v>
      </c>
      <c r="P406" s="631"/>
      <c r="Q406" s="631"/>
      <c r="R406" s="632">
        <f>CCBASE!$I$4</f>
        <v>8.3986041999999994</v>
      </c>
      <c r="S406" s="637">
        <f>CCBASE!$I$8*2</f>
        <v>32.51052</v>
      </c>
      <c r="T406" s="631"/>
      <c r="U406" s="632">
        <f>CCBASE!$I$47*4</f>
        <v>57.64</v>
      </c>
      <c r="V406" s="631"/>
      <c r="W406" s="637">
        <f>CCBASE!$I$40*B406/1000*2</f>
        <v>247.84824</v>
      </c>
      <c r="X406" s="637"/>
      <c r="Y406" s="637"/>
      <c r="Z406" s="637"/>
      <c r="AA406" s="637"/>
      <c r="AB406" s="637"/>
      <c r="AC406" s="637"/>
      <c r="AD406" s="637">
        <f>CCBASE!$I$32*4</f>
        <v>217.65396799999999</v>
      </c>
    </row>
    <row r="407" spans="1:45" x14ac:dyDescent="0.2">
      <c r="A407" s="630" t="s">
        <v>337</v>
      </c>
      <c r="B407" s="630">
        <v>1000</v>
      </c>
      <c r="C407" s="630">
        <v>2500</v>
      </c>
      <c r="D407" s="630" t="str">
        <f t="shared" ref="D407:D415" si="168">A407&amp;B407&amp;C407</f>
        <v>CMW-I-MUAP10002500</v>
      </c>
      <c r="E407" s="1046">
        <f t="shared" si="167"/>
        <v>1998.81400534</v>
      </c>
      <c r="F407" s="631">
        <v>27</v>
      </c>
      <c r="G407" s="632">
        <f>F407*CCBASE!$B$51</f>
        <v>972</v>
      </c>
      <c r="H407" s="632">
        <f>CCBASE!$I$16*2</f>
        <v>158.00022014000001</v>
      </c>
      <c r="I407" s="632">
        <f>(CCBASE!$I$20)/1000*2*B407</f>
        <v>173.295143</v>
      </c>
      <c r="J407" s="632"/>
      <c r="K407" s="632"/>
      <c r="L407" s="632"/>
      <c r="M407" s="632">
        <f>CCBASE!$I$6*B407/1000*2</f>
        <v>242.49490999999995</v>
      </c>
      <c r="N407" s="632">
        <f>CCBASE!$I$7*B407/1000*2</f>
        <v>63.084560000000003</v>
      </c>
      <c r="O407" s="632">
        <f>CCBASE!$I$45*B407/1000*2</f>
        <v>19.940000000000001</v>
      </c>
      <c r="P407" s="631"/>
      <c r="Q407" s="631"/>
      <c r="R407" s="632">
        <f>CCBASE!$I$4</f>
        <v>8.3986041999999994</v>
      </c>
      <c r="S407" s="637">
        <f>CCBASE!$I$8*2</f>
        <v>32.51052</v>
      </c>
      <c r="T407" s="631"/>
      <c r="U407" s="637">
        <f>CCBASE!$I$47*2</f>
        <v>28.82</v>
      </c>
      <c r="V407" s="631"/>
      <c r="W407" s="637">
        <f>CCBASE!$I$40*B407/1000*2</f>
        <v>82.616079999999997</v>
      </c>
      <c r="X407" s="637"/>
      <c r="Y407" s="637"/>
      <c r="Z407" s="637"/>
      <c r="AA407" s="637"/>
      <c r="AB407" s="637"/>
      <c r="AC407" s="637"/>
      <c r="AD407" s="637">
        <f>CCBASE!$I$32*4</f>
        <v>217.65396799999999</v>
      </c>
    </row>
    <row r="408" spans="1:45" x14ac:dyDescent="0.2">
      <c r="A408" s="630" t="s">
        <v>337</v>
      </c>
      <c r="B408" s="630">
        <v>1250</v>
      </c>
      <c r="C408" s="630">
        <v>2500</v>
      </c>
      <c r="D408" s="630" t="str">
        <f t="shared" ref="D408" si="169">A408&amp;B408&amp;C408</f>
        <v>CMW-I-MUAP12502500</v>
      </c>
      <c r="E408" s="1046">
        <f t="shared" si="167"/>
        <v>2172.99167859</v>
      </c>
      <c r="F408" s="631">
        <v>27</v>
      </c>
      <c r="G408" s="632">
        <f>F408*CCBASE!$B$51</f>
        <v>972</v>
      </c>
      <c r="H408" s="632">
        <f>CCBASE!$I$16*2</f>
        <v>158.00022014000001</v>
      </c>
      <c r="I408" s="632">
        <f>(CCBASE!$I$20)/1000*2*B408</f>
        <v>216.61892874999998</v>
      </c>
      <c r="J408" s="632"/>
      <c r="K408" s="632"/>
      <c r="L408" s="632"/>
      <c r="M408" s="632">
        <f>CCBASE!$I$6*B408/1000*2</f>
        <v>303.11863749999998</v>
      </c>
      <c r="N408" s="632">
        <f>CCBASE!$I$7*B408/1000*2</f>
        <v>78.855699999999999</v>
      </c>
      <c r="O408" s="632">
        <f>CCBASE!$I$45*B408/1000*2</f>
        <v>24.925000000000001</v>
      </c>
      <c r="P408" s="631"/>
      <c r="Q408" s="631"/>
      <c r="R408" s="632">
        <f>CCBASE!$I$4</f>
        <v>8.3986041999999994</v>
      </c>
      <c r="S408" s="637">
        <f>CCBASE!$I$8*2</f>
        <v>32.51052</v>
      </c>
      <c r="T408" s="631"/>
      <c r="U408" s="637">
        <f>CCBASE!$I$47*4</f>
        <v>57.64</v>
      </c>
      <c r="V408" s="631"/>
      <c r="W408" s="637">
        <f>CCBASE!$I$40*B408/1000*2</f>
        <v>103.27009999999999</v>
      </c>
      <c r="X408" s="637"/>
      <c r="Y408" s="637"/>
      <c r="Z408" s="637"/>
      <c r="AA408" s="637"/>
      <c r="AB408" s="637"/>
      <c r="AC408" s="637"/>
      <c r="AD408" s="637">
        <f>CCBASE!$I$32*4</f>
        <v>217.65396799999999</v>
      </c>
    </row>
    <row r="409" spans="1:45" x14ac:dyDescent="0.2">
      <c r="A409" s="630" t="s">
        <v>337</v>
      </c>
      <c r="B409" s="630">
        <v>1500</v>
      </c>
      <c r="C409" s="630">
        <v>2500</v>
      </c>
      <c r="D409" s="630" t="str">
        <f t="shared" si="168"/>
        <v>CMW-I-MUAP15002500</v>
      </c>
      <c r="E409" s="1046">
        <f t="shared" si="167"/>
        <v>2318.3493518400001</v>
      </c>
      <c r="F409" s="631">
        <v>27</v>
      </c>
      <c r="G409" s="632">
        <f>F409*CCBASE!$B$51</f>
        <v>972</v>
      </c>
      <c r="H409" s="632">
        <f>CCBASE!$I$16*2</f>
        <v>158.00022014000001</v>
      </c>
      <c r="I409" s="632">
        <f>(CCBASE!$I$20)/1000*2*B409</f>
        <v>259.94271449999997</v>
      </c>
      <c r="J409" s="632"/>
      <c r="K409" s="632"/>
      <c r="L409" s="632"/>
      <c r="M409" s="632">
        <f>CCBASE!$I$6*B409/1000*2</f>
        <v>363.74236499999995</v>
      </c>
      <c r="N409" s="632">
        <f>CCBASE!$I$7*B409/1000*2</f>
        <v>94.626840000000016</v>
      </c>
      <c r="O409" s="632">
        <f>CCBASE!$I$45*B409/1000*2</f>
        <v>29.910000000000004</v>
      </c>
      <c r="P409" s="631"/>
      <c r="Q409" s="631"/>
      <c r="R409" s="632">
        <f>CCBASE!$I$4</f>
        <v>8.3986041999999994</v>
      </c>
      <c r="S409" s="637">
        <f>CCBASE!$I$8*2</f>
        <v>32.51052</v>
      </c>
      <c r="T409" s="631"/>
      <c r="U409" s="637">
        <f>CCBASE!$I$47*4</f>
        <v>57.64</v>
      </c>
      <c r="V409" s="631"/>
      <c r="W409" s="637">
        <f>CCBASE!$I$40*B409/1000*2</f>
        <v>123.92412</v>
      </c>
      <c r="X409" s="637"/>
      <c r="Y409" s="637"/>
      <c r="Z409" s="637"/>
      <c r="AA409" s="637"/>
      <c r="AB409" s="637"/>
      <c r="AC409" s="637"/>
      <c r="AD409" s="637">
        <f>CCBASE!$I$32*4</f>
        <v>217.65396799999999</v>
      </c>
    </row>
    <row r="410" spans="1:45" x14ac:dyDescent="0.2">
      <c r="A410" s="630" t="s">
        <v>337</v>
      </c>
      <c r="B410" s="630">
        <v>1750</v>
      </c>
      <c r="C410" s="630">
        <v>2500</v>
      </c>
      <c r="D410" s="630" t="str">
        <f t="shared" ref="D410" si="170">A410&amp;B410&amp;C410</f>
        <v>CMW-I-MUAP17502500</v>
      </c>
      <c r="E410" s="1046">
        <f t="shared" si="167"/>
        <v>2463.7070250900001</v>
      </c>
      <c r="F410" s="631">
        <v>27</v>
      </c>
      <c r="G410" s="632">
        <f>F410*CCBASE!$B$51</f>
        <v>972</v>
      </c>
      <c r="H410" s="632">
        <f>CCBASE!$I$16*2</f>
        <v>158.00022014000001</v>
      </c>
      <c r="I410" s="632">
        <f>(CCBASE!$I$20)/1000*2*B410</f>
        <v>303.26650024999998</v>
      </c>
      <c r="J410" s="632"/>
      <c r="K410" s="632"/>
      <c r="L410" s="632"/>
      <c r="M410" s="632">
        <f>CCBASE!$I$6*B410/1000*2</f>
        <v>424.36609249999992</v>
      </c>
      <c r="N410" s="632">
        <f>CCBASE!$I$7*B410/1000*2</f>
        <v>110.39798</v>
      </c>
      <c r="O410" s="632">
        <f>CCBASE!$I$45*B410/1000*2</f>
        <v>34.895000000000003</v>
      </c>
      <c r="P410" s="631"/>
      <c r="Q410" s="631"/>
      <c r="R410" s="632">
        <f>CCBASE!$I$4</f>
        <v>8.3986041999999994</v>
      </c>
      <c r="S410" s="637">
        <f>CCBASE!$I$8*2</f>
        <v>32.51052</v>
      </c>
      <c r="T410" s="631"/>
      <c r="U410" s="637">
        <f>CCBASE!$I$47*4</f>
        <v>57.64</v>
      </c>
      <c r="V410" s="631"/>
      <c r="W410" s="637">
        <f>CCBASE!$I$40*B410/1000*2</f>
        <v>144.57813999999999</v>
      </c>
      <c r="X410" s="637"/>
      <c r="Y410" s="637"/>
      <c r="Z410" s="637"/>
      <c r="AA410" s="637"/>
      <c r="AB410" s="637"/>
      <c r="AC410" s="637"/>
      <c r="AD410" s="637">
        <f>CCBASE!$I$32*4</f>
        <v>217.65396799999999</v>
      </c>
    </row>
    <row r="411" spans="1:45" x14ac:dyDescent="0.2">
      <c r="A411" s="630" t="s">
        <v>337</v>
      </c>
      <c r="B411" s="630">
        <v>2000</v>
      </c>
      <c r="C411" s="630">
        <v>2500</v>
      </c>
      <c r="D411" s="630" t="str">
        <f t="shared" si="168"/>
        <v>CMW-I-MUAP20002500</v>
      </c>
      <c r="E411" s="1046">
        <f t="shared" si="167"/>
        <v>2609.0646983399997</v>
      </c>
      <c r="F411" s="631">
        <v>27</v>
      </c>
      <c r="G411" s="632">
        <f>F411*CCBASE!$B$51</f>
        <v>972</v>
      </c>
      <c r="H411" s="632">
        <f>CCBASE!$I$16*2</f>
        <v>158.00022014000001</v>
      </c>
      <c r="I411" s="632">
        <f>(CCBASE!$I$20)/1000*2*B411</f>
        <v>346.59028599999999</v>
      </c>
      <c r="J411" s="632"/>
      <c r="K411" s="632"/>
      <c r="L411" s="632"/>
      <c r="M411" s="632">
        <f>CCBASE!$I$6*B411/1000*2</f>
        <v>484.9898199999999</v>
      </c>
      <c r="N411" s="632">
        <f>CCBASE!$I$7*B411/1000*2</f>
        <v>126.16912000000001</v>
      </c>
      <c r="O411" s="632">
        <f>CCBASE!$I$45*B411/1000*2</f>
        <v>39.880000000000003</v>
      </c>
      <c r="P411" s="631"/>
      <c r="Q411" s="631"/>
      <c r="R411" s="632">
        <f>CCBASE!$I$4</f>
        <v>8.3986041999999994</v>
      </c>
      <c r="S411" s="637">
        <f>CCBASE!$I$8*2</f>
        <v>32.51052</v>
      </c>
      <c r="T411" s="631"/>
      <c r="U411" s="637">
        <f>CCBASE!$I$47*4</f>
        <v>57.64</v>
      </c>
      <c r="V411" s="631"/>
      <c r="W411" s="637">
        <f>CCBASE!$I$40*B411/1000*2</f>
        <v>165.23215999999999</v>
      </c>
      <c r="X411" s="637"/>
      <c r="Y411" s="637"/>
      <c r="Z411" s="637"/>
      <c r="AA411" s="637"/>
      <c r="AB411" s="637"/>
      <c r="AC411" s="637"/>
      <c r="AD411" s="637">
        <f>CCBASE!$I$32*4</f>
        <v>217.65396799999999</v>
      </c>
    </row>
    <row r="412" spans="1:45" x14ac:dyDescent="0.2">
      <c r="A412" s="630" t="s">
        <v>337</v>
      </c>
      <c r="B412" s="630">
        <v>2250</v>
      </c>
      <c r="C412" s="630">
        <v>2500</v>
      </c>
      <c r="D412" s="630" t="str">
        <f t="shared" ref="D412" si="171">A412&amp;B412&amp;C412</f>
        <v>CMW-I-MUAP22502500</v>
      </c>
      <c r="E412" s="1046">
        <f t="shared" si="167"/>
        <v>2754.4223715899993</v>
      </c>
      <c r="F412" s="631">
        <v>27</v>
      </c>
      <c r="G412" s="632">
        <f>F412*CCBASE!$B$51</f>
        <v>972</v>
      </c>
      <c r="H412" s="632">
        <f>CCBASE!$I$16*2</f>
        <v>158.00022014000001</v>
      </c>
      <c r="I412" s="632">
        <f>(CCBASE!$I$20)/1000*2*B412</f>
        <v>389.91407174999995</v>
      </c>
      <c r="J412" s="632"/>
      <c r="K412" s="632"/>
      <c r="L412" s="632"/>
      <c r="M412" s="632">
        <f>CCBASE!$I$6*B412/1000*2</f>
        <v>545.61354749999987</v>
      </c>
      <c r="N412" s="632">
        <f>CCBASE!$I$7*B412/1000*2</f>
        <v>141.94026000000002</v>
      </c>
      <c r="O412" s="632">
        <f>CCBASE!$I$45*B412/1000*2</f>
        <v>44.865000000000002</v>
      </c>
      <c r="P412" s="631"/>
      <c r="Q412" s="631"/>
      <c r="R412" s="632">
        <f>CCBASE!$I$4</f>
        <v>8.3986041999999994</v>
      </c>
      <c r="S412" s="637">
        <f>CCBASE!$I$8*2</f>
        <v>32.51052</v>
      </c>
      <c r="T412" s="631"/>
      <c r="U412" s="637">
        <f>CCBASE!$I$47*4</f>
        <v>57.64</v>
      </c>
      <c r="V412" s="631"/>
      <c r="W412" s="637">
        <f>CCBASE!$I$40*B412/1000*2</f>
        <v>185.88618</v>
      </c>
      <c r="X412" s="637"/>
      <c r="Y412" s="637"/>
      <c r="Z412" s="637"/>
      <c r="AA412" s="637"/>
      <c r="AB412" s="637"/>
      <c r="AC412" s="637"/>
      <c r="AD412" s="637">
        <f>CCBASE!$I$32*4</f>
        <v>217.65396799999999</v>
      </c>
    </row>
    <row r="413" spans="1:45" x14ac:dyDescent="0.2">
      <c r="A413" s="630" t="s">
        <v>337</v>
      </c>
      <c r="B413" s="630">
        <v>2500</v>
      </c>
      <c r="C413" s="630">
        <v>2500</v>
      </c>
      <c r="D413" s="630" t="str">
        <f t="shared" si="168"/>
        <v>CMW-I-MUAP25002500</v>
      </c>
      <c r="E413" s="1046">
        <f t="shared" si="167"/>
        <v>2899.7800448399998</v>
      </c>
      <c r="F413" s="631">
        <v>27</v>
      </c>
      <c r="G413" s="632">
        <f>F413*CCBASE!$B$51</f>
        <v>972</v>
      </c>
      <c r="H413" s="632">
        <f>CCBASE!$I$16*2</f>
        <v>158.00022014000001</v>
      </c>
      <c r="I413" s="632">
        <f>(CCBASE!$I$20)/1000*2*B413</f>
        <v>433.23785749999996</v>
      </c>
      <c r="J413" s="632"/>
      <c r="K413" s="632"/>
      <c r="L413" s="632"/>
      <c r="M413" s="632">
        <f>CCBASE!$I$6*B413/1000*2</f>
        <v>606.23727499999995</v>
      </c>
      <c r="N413" s="632">
        <f>CCBASE!$I$7*B413/1000*2</f>
        <v>157.7114</v>
      </c>
      <c r="O413" s="632">
        <f>CCBASE!$I$45*B413/1000*2</f>
        <v>49.85</v>
      </c>
      <c r="P413" s="631"/>
      <c r="Q413" s="631"/>
      <c r="R413" s="632">
        <f>CCBASE!$I$4</f>
        <v>8.3986041999999994</v>
      </c>
      <c r="S413" s="637">
        <f>CCBASE!$I$8*2</f>
        <v>32.51052</v>
      </c>
      <c r="T413" s="631"/>
      <c r="U413" s="637">
        <f>CCBASE!$I$47*4</f>
        <v>57.64</v>
      </c>
      <c r="V413" s="631"/>
      <c r="W413" s="637">
        <f>CCBASE!$I$40*B413/1000*2</f>
        <v>206.54019999999997</v>
      </c>
      <c r="X413" s="637"/>
      <c r="Y413" s="637"/>
      <c r="Z413" s="637"/>
      <c r="AA413" s="637"/>
      <c r="AB413" s="637"/>
      <c r="AC413" s="637"/>
      <c r="AD413" s="637">
        <f>CCBASE!$I$32*4</f>
        <v>217.65396799999999</v>
      </c>
    </row>
    <row r="414" spans="1:45" x14ac:dyDescent="0.2">
      <c r="A414" s="630" t="s">
        <v>337</v>
      </c>
      <c r="B414" s="630">
        <v>2750</v>
      </c>
      <c r="C414" s="630">
        <v>2500</v>
      </c>
      <c r="D414" s="630" t="str">
        <f t="shared" ref="D414" si="172">A414&amp;B414&amp;C414</f>
        <v>CMW-I-MUAP27502500</v>
      </c>
      <c r="E414" s="1046">
        <f t="shared" si="167"/>
        <v>3045.1377180899995</v>
      </c>
      <c r="F414" s="631">
        <v>27</v>
      </c>
      <c r="G414" s="632">
        <f>F414*CCBASE!$B$51</f>
        <v>972</v>
      </c>
      <c r="H414" s="632">
        <f>CCBASE!$I$16*2</f>
        <v>158.00022014000001</v>
      </c>
      <c r="I414" s="632">
        <f>(CCBASE!$I$20)/1000*2*B414</f>
        <v>476.56164324999997</v>
      </c>
      <c r="J414" s="632"/>
      <c r="K414" s="632"/>
      <c r="L414" s="632"/>
      <c r="M414" s="632">
        <f>CCBASE!$I$6*B414/1000*2</f>
        <v>666.86100249999981</v>
      </c>
      <c r="N414" s="632">
        <f>CCBASE!$I$7*B414/1000*2</f>
        <v>173.48254</v>
      </c>
      <c r="O414" s="632">
        <f>CCBASE!$I$45*B414/1000*2</f>
        <v>54.835000000000001</v>
      </c>
      <c r="P414" s="631"/>
      <c r="Q414" s="631"/>
      <c r="R414" s="632">
        <f>CCBASE!$I$4</f>
        <v>8.3986041999999994</v>
      </c>
      <c r="S414" s="637">
        <f>CCBASE!$I$8*2</f>
        <v>32.51052</v>
      </c>
      <c r="T414" s="631"/>
      <c r="U414" s="637">
        <f>CCBASE!$I$47*4</f>
        <v>57.64</v>
      </c>
      <c r="V414" s="631"/>
      <c r="W414" s="637">
        <f>CCBASE!$I$40*B414/1000*2</f>
        <v>227.19422</v>
      </c>
      <c r="X414" s="637"/>
      <c r="Y414" s="637"/>
      <c r="Z414" s="637"/>
      <c r="AA414" s="637"/>
      <c r="AB414" s="637"/>
      <c r="AC414" s="637"/>
      <c r="AD414" s="637">
        <f>CCBASE!$I$32*4</f>
        <v>217.65396799999999</v>
      </c>
    </row>
    <row r="415" spans="1:45" x14ac:dyDescent="0.2">
      <c r="A415" s="630" t="s">
        <v>337</v>
      </c>
      <c r="B415" s="630">
        <v>3000</v>
      </c>
      <c r="C415" s="630">
        <v>2500</v>
      </c>
      <c r="D415" s="630" t="str">
        <f t="shared" si="168"/>
        <v>CMW-I-MUAP30002500</v>
      </c>
      <c r="E415" s="1046">
        <f t="shared" si="167"/>
        <v>3190.49539134</v>
      </c>
      <c r="F415" s="631">
        <v>27</v>
      </c>
      <c r="G415" s="632">
        <f>F415*CCBASE!$B$51</f>
        <v>972</v>
      </c>
      <c r="H415" s="632">
        <f>CCBASE!$I$16*2</f>
        <v>158.00022014000001</v>
      </c>
      <c r="I415" s="632">
        <f>(CCBASE!$I$20)/1000*2*B415</f>
        <v>519.88542899999993</v>
      </c>
      <c r="J415" s="632"/>
      <c r="K415" s="632"/>
      <c r="L415" s="632"/>
      <c r="M415" s="632">
        <f>CCBASE!$I$6*B415/1000*2</f>
        <v>727.4847299999999</v>
      </c>
      <c r="N415" s="632">
        <f>CCBASE!$I$7*B415/1000*2</f>
        <v>189.25368000000003</v>
      </c>
      <c r="O415" s="632">
        <f>CCBASE!$I$45*B415/1000*2</f>
        <v>59.820000000000007</v>
      </c>
      <c r="P415" s="631"/>
      <c r="Q415" s="631"/>
      <c r="R415" s="632">
        <f>CCBASE!$I$4</f>
        <v>8.3986041999999994</v>
      </c>
      <c r="S415" s="637">
        <f>CCBASE!$I$8*2</f>
        <v>32.51052</v>
      </c>
      <c r="T415" s="631"/>
      <c r="U415" s="637">
        <f>CCBASE!$I$47*4</f>
        <v>57.64</v>
      </c>
      <c r="V415" s="631"/>
      <c r="W415" s="637">
        <f>CCBASE!$I$40*B415/1000*2</f>
        <v>247.84824</v>
      </c>
      <c r="X415" s="637"/>
      <c r="Y415" s="637"/>
      <c r="Z415" s="637"/>
      <c r="AA415" s="637"/>
      <c r="AB415" s="637"/>
      <c r="AC415" s="637"/>
      <c r="AD415" s="637">
        <f>CCBASE!$I$32*4</f>
        <v>217.65396799999999</v>
      </c>
    </row>
    <row r="416" spans="1:45" x14ac:dyDescent="0.2">
      <c r="A416" s="630" t="s">
        <v>344</v>
      </c>
      <c r="B416" s="630">
        <v>1000</v>
      </c>
      <c r="C416" s="630">
        <v>1000</v>
      </c>
      <c r="D416" s="630" t="str">
        <f t="shared" ref="D416:D433" si="173">$A416&amp;B416&amp;C416</f>
        <v>KVI-LL10001000</v>
      </c>
      <c r="E416" s="1046">
        <f t="shared" si="167"/>
        <v>0</v>
      </c>
      <c r="F416" s="631"/>
      <c r="G416" s="632">
        <f>F416*CCBASE!$B$51</f>
        <v>0</v>
      </c>
      <c r="H416" s="632"/>
      <c r="I416" s="632"/>
      <c r="J416" s="632"/>
      <c r="K416" s="632"/>
      <c r="L416" s="631"/>
      <c r="M416" s="632"/>
      <c r="N416" s="632"/>
      <c r="O416" s="632"/>
      <c r="P416" s="632"/>
      <c r="Q416" s="632"/>
      <c r="R416" s="632"/>
      <c r="S416" s="632"/>
      <c r="T416" s="631"/>
      <c r="U416" s="632"/>
      <c r="V416" s="632"/>
      <c r="W416" s="632"/>
      <c r="X416" s="632"/>
      <c r="Y416" s="632"/>
      <c r="Z416" s="632"/>
      <c r="AA416" s="632"/>
      <c r="AB416" s="632"/>
      <c r="AC416" s="632"/>
      <c r="AD416" s="632"/>
      <c r="AI416" s="634"/>
      <c r="AJ416" s="634"/>
      <c r="AK416" s="635"/>
      <c r="AL416" s="635"/>
      <c r="AM416" s="635"/>
      <c r="AN416" s="635"/>
      <c r="AO416" s="635"/>
      <c r="AP416" s="635"/>
      <c r="AQ416" s="635"/>
      <c r="AR416" s="635"/>
      <c r="AS416" s="635"/>
    </row>
    <row r="417" spans="1:45" x14ac:dyDescent="0.2">
      <c r="A417" s="630" t="s">
        <v>344</v>
      </c>
      <c r="B417" s="630">
        <v>1250</v>
      </c>
      <c r="C417" s="630">
        <v>1000</v>
      </c>
      <c r="D417" s="630" t="str">
        <f t="shared" si="173"/>
        <v>KVI-LL12501000</v>
      </c>
      <c r="E417" s="1046">
        <f t="shared" si="167"/>
        <v>0</v>
      </c>
      <c r="F417" s="631"/>
      <c r="G417" s="632">
        <f>F417*CCBASE!$B$51</f>
        <v>0</v>
      </c>
      <c r="H417" s="632"/>
      <c r="I417" s="632"/>
      <c r="J417" s="632"/>
      <c r="K417" s="632"/>
      <c r="L417" s="631"/>
      <c r="M417" s="632"/>
      <c r="N417" s="632"/>
      <c r="O417" s="632"/>
      <c r="P417" s="632"/>
      <c r="Q417" s="632"/>
      <c r="R417" s="632"/>
      <c r="S417" s="632"/>
      <c r="T417" s="631"/>
      <c r="U417" s="632"/>
      <c r="V417" s="632"/>
      <c r="W417" s="632"/>
      <c r="X417" s="632"/>
      <c r="Y417" s="632"/>
      <c r="Z417" s="632"/>
      <c r="AA417" s="632"/>
      <c r="AB417" s="632"/>
      <c r="AC417" s="632"/>
      <c r="AD417" s="632"/>
      <c r="AI417" s="634"/>
      <c r="AJ417" s="634"/>
      <c r="AK417" s="635"/>
      <c r="AL417" s="635"/>
      <c r="AM417" s="635"/>
      <c r="AN417" s="635"/>
      <c r="AO417" s="635"/>
      <c r="AP417" s="635"/>
      <c r="AQ417" s="635"/>
      <c r="AR417" s="635"/>
      <c r="AS417" s="635"/>
    </row>
    <row r="418" spans="1:45" x14ac:dyDescent="0.2">
      <c r="A418" s="630" t="s">
        <v>344</v>
      </c>
      <c r="B418" s="630">
        <v>1500</v>
      </c>
      <c r="C418" s="630">
        <v>1000</v>
      </c>
      <c r="D418" s="630" t="str">
        <f t="shared" si="173"/>
        <v>KVI-LL15001000</v>
      </c>
      <c r="E418" s="1046">
        <f t="shared" si="167"/>
        <v>0</v>
      </c>
      <c r="F418" s="631"/>
      <c r="G418" s="632">
        <f>F418*CCBASE!$B$51</f>
        <v>0</v>
      </c>
      <c r="H418" s="632"/>
      <c r="I418" s="632"/>
      <c r="J418" s="632"/>
      <c r="K418" s="632"/>
      <c r="L418" s="631"/>
      <c r="M418" s="632"/>
      <c r="N418" s="632"/>
      <c r="O418" s="632"/>
      <c r="P418" s="632"/>
      <c r="Q418" s="632"/>
      <c r="R418" s="632"/>
      <c r="S418" s="632"/>
      <c r="T418" s="631"/>
      <c r="U418" s="632"/>
      <c r="V418" s="632"/>
      <c r="W418" s="632"/>
      <c r="X418" s="632"/>
      <c r="Y418" s="632"/>
      <c r="Z418" s="632"/>
      <c r="AA418" s="632"/>
      <c r="AB418" s="632"/>
      <c r="AC418" s="632"/>
      <c r="AD418" s="632"/>
      <c r="AI418" s="634"/>
      <c r="AJ418" s="634"/>
      <c r="AK418" s="635"/>
      <c r="AL418" s="635"/>
      <c r="AM418" s="635"/>
      <c r="AN418" s="635"/>
      <c r="AO418" s="635"/>
      <c r="AP418" s="635"/>
      <c r="AQ418" s="635"/>
      <c r="AR418" s="635"/>
      <c r="AS418" s="635"/>
    </row>
    <row r="419" spans="1:45" x14ac:dyDescent="0.2">
      <c r="A419" s="630" t="s">
        <v>344</v>
      </c>
      <c r="B419" s="630">
        <v>1750</v>
      </c>
      <c r="C419" s="630">
        <v>1000</v>
      </c>
      <c r="D419" s="630" t="str">
        <f t="shared" si="173"/>
        <v>KVI-LL17501000</v>
      </c>
      <c r="E419" s="1046">
        <f t="shared" si="167"/>
        <v>0</v>
      </c>
      <c r="F419" s="631"/>
      <c r="G419" s="632">
        <f>F419*CCBASE!$B$51</f>
        <v>0</v>
      </c>
      <c r="H419" s="632"/>
      <c r="I419" s="632"/>
      <c r="J419" s="632"/>
      <c r="K419" s="632"/>
      <c r="L419" s="631"/>
      <c r="M419" s="632"/>
      <c r="N419" s="632"/>
      <c r="O419" s="632"/>
      <c r="P419" s="632"/>
      <c r="Q419" s="632"/>
      <c r="R419" s="632"/>
      <c r="S419" s="632"/>
      <c r="T419" s="631"/>
      <c r="U419" s="632"/>
      <c r="V419" s="632"/>
      <c r="W419" s="632"/>
      <c r="X419" s="632"/>
      <c r="Y419" s="632"/>
      <c r="Z419" s="632"/>
      <c r="AA419" s="632"/>
      <c r="AB419" s="632"/>
      <c r="AC419" s="632"/>
      <c r="AD419" s="632"/>
      <c r="AI419" s="634"/>
      <c r="AJ419" s="634"/>
      <c r="AN419" s="635"/>
      <c r="AO419" s="635"/>
      <c r="AP419" s="635"/>
      <c r="AQ419" s="635"/>
      <c r="AR419" s="635"/>
      <c r="AS419" s="635"/>
    </row>
    <row r="420" spans="1:45" x14ac:dyDescent="0.2">
      <c r="A420" s="630" t="s">
        <v>344</v>
      </c>
      <c r="B420" s="630">
        <v>2000</v>
      </c>
      <c r="C420" s="630">
        <v>1000</v>
      </c>
      <c r="D420" s="630" t="str">
        <f t="shared" si="173"/>
        <v>KVI-LL20001000</v>
      </c>
      <c r="E420" s="1046">
        <f t="shared" si="167"/>
        <v>0</v>
      </c>
      <c r="F420" s="631"/>
      <c r="G420" s="632">
        <f>F420*CCBASE!$B$51</f>
        <v>0</v>
      </c>
      <c r="H420" s="632"/>
      <c r="I420" s="632"/>
      <c r="J420" s="632"/>
      <c r="K420" s="632"/>
      <c r="L420" s="631"/>
      <c r="M420" s="632"/>
      <c r="N420" s="632"/>
      <c r="O420" s="632"/>
      <c r="P420" s="632"/>
      <c r="Q420" s="632"/>
      <c r="R420" s="632"/>
      <c r="S420" s="632"/>
      <c r="T420" s="631"/>
      <c r="U420" s="632"/>
      <c r="V420" s="632"/>
      <c r="W420" s="632"/>
      <c r="X420" s="632"/>
      <c r="Y420" s="632"/>
      <c r="Z420" s="632"/>
      <c r="AA420" s="632"/>
      <c r="AB420" s="632"/>
      <c r="AC420" s="632"/>
      <c r="AD420" s="632"/>
      <c r="AI420" s="634"/>
      <c r="AJ420" s="634"/>
      <c r="AN420" s="635"/>
      <c r="AO420" s="635"/>
      <c r="AP420" s="635"/>
      <c r="AQ420" s="635"/>
      <c r="AR420" s="635"/>
      <c r="AS420" s="635"/>
    </row>
    <row r="421" spans="1:45" x14ac:dyDescent="0.2">
      <c r="A421" s="630" t="s">
        <v>344</v>
      </c>
      <c r="B421" s="630">
        <v>2250</v>
      </c>
      <c r="C421" s="630">
        <v>1000</v>
      </c>
      <c r="D421" s="630" t="str">
        <f t="shared" si="173"/>
        <v>KVI-LL22501000</v>
      </c>
      <c r="E421" s="1046">
        <f t="shared" si="167"/>
        <v>0</v>
      </c>
      <c r="F421" s="631"/>
      <c r="G421" s="632">
        <f>F421*CCBASE!$B$51</f>
        <v>0</v>
      </c>
      <c r="H421" s="632"/>
      <c r="I421" s="632"/>
      <c r="J421" s="632"/>
      <c r="K421" s="632"/>
      <c r="L421" s="631"/>
      <c r="M421" s="632"/>
      <c r="N421" s="632"/>
      <c r="O421" s="632"/>
      <c r="P421" s="632"/>
      <c r="Q421" s="632"/>
      <c r="R421" s="632"/>
      <c r="S421" s="632"/>
      <c r="T421" s="631"/>
      <c r="U421" s="632"/>
      <c r="V421" s="632"/>
      <c r="W421" s="632"/>
      <c r="X421" s="632"/>
      <c r="Y421" s="632"/>
      <c r="Z421" s="632"/>
      <c r="AA421" s="632"/>
      <c r="AB421" s="632"/>
      <c r="AC421" s="632"/>
      <c r="AD421" s="632"/>
      <c r="AI421" s="634"/>
      <c r="AJ421" s="634"/>
      <c r="AN421" s="635"/>
      <c r="AO421" s="635"/>
      <c r="AP421" s="635"/>
      <c r="AQ421" s="635"/>
      <c r="AR421" s="635"/>
      <c r="AS421" s="635"/>
    </row>
    <row r="422" spans="1:45" x14ac:dyDescent="0.2">
      <c r="A422" s="630" t="s">
        <v>344</v>
      </c>
      <c r="B422" s="630">
        <v>2500</v>
      </c>
      <c r="C422" s="630">
        <v>1000</v>
      </c>
      <c r="D422" s="630" t="str">
        <f t="shared" si="173"/>
        <v>KVI-LL25001000</v>
      </c>
      <c r="E422" s="1046">
        <f t="shared" si="167"/>
        <v>0</v>
      </c>
      <c r="F422" s="631"/>
      <c r="G422" s="632">
        <f>F422*CCBASE!$B$51</f>
        <v>0</v>
      </c>
      <c r="H422" s="632"/>
      <c r="I422" s="632"/>
      <c r="J422" s="632"/>
      <c r="K422" s="632"/>
      <c r="L422" s="631"/>
      <c r="M422" s="632"/>
      <c r="N422" s="632"/>
      <c r="O422" s="632"/>
      <c r="P422" s="632"/>
      <c r="Q422" s="632"/>
      <c r="R422" s="632"/>
      <c r="S422" s="632"/>
      <c r="T422" s="631"/>
      <c r="U422" s="632"/>
      <c r="V422" s="632"/>
      <c r="W422" s="632"/>
      <c r="X422" s="632"/>
      <c r="Y422" s="632"/>
      <c r="Z422" s="632"/>
      <c r="AA422" s="632"/>
      <c r="AB422" s="632"/>
      <c r="AC422" s="632"/>
      <c r="AD422" s="632"/>
      <c r="AI422" s="634"/>
      <c r="AJ422" s="634"/>
      <c r="AN422" s="635"/>
      <c r="AO422" s="635"/>
      <c r="AP422" s="635"/>
      <c r="AQ422" s="635"/>
      <c r="AR422" s="635"/>
      <c r="AS422" s="635"/>
    </row>
    <row r="423" spans="1:45" x14ac:dyDescent="0.2">
      <c r="A423" s="630" t="s">
        <v>344</v>
      </c>
      <c r="B423" s="630">
        <v>2750</v>
      </c>
      <c r="C423" s="630">
        <v>1000</v>
      </c>
      <c r="D423" s="630" t="str">
        <f t="shared" si="173"/>
        <v>KVI-LL27501000</v>
      </c>
      <c r="E423" s="1046">
        <f t="shared" si="167"/>
        <v>0</v>
      </c>
      <c r="F423" s="631"/>
      <c r="G423" s="632">
        <f>F423*CCBASE!$B$51</f>
        <v>0</v>
      </c>
      <c r="H423" s="632"/>
      <c r="I423" s="632"/>
      <c r="J423" s="632"/>
      <c r="K423" s="632"/>
      <c r="L423" s="631"/>
      <c r="M423" s="632"/>
      <c r="N423" s="632"/>
      <c r="O423" s="632"/>
      <c r="P423" s="632"/>
      <c r="Q423" s="632"/>
      <c r="R423" s="632"/>
      <c r="S423" s="632"/>
      <c r="T423" s="631"/>
      <c r="U423" s="632"/>
      <c r="V423" s="632"/>
      <c r="W423" s="632"/>
      <c r="X423" s="632"/>
      <c r="Y423" s="632"/>
      <c r="Z423" s="632"/>
      <c r="AA423" s="632"/>
      <c r="AB423" s="632"/>
      <c r="AC423" s="632"/>
      <c r="AD423" s="632"/>
      <c r="AI423" s="634"/>
      <c r="AJ423" s="634"/>
      <c r="AN423" s="635"/>
      <c r="AO423" s="635"/>
      <c r="AP423" s="635"/>
      <c r="AQ423" s="635"/>
      <c r="AR423" s="635"/>
      <c r="AS423" s="635"/>
    </row>
    <row r="424" spans="1:45" x14ac:dyDescent="0.2">
      <c r="A424" s="630" t="s">
        <v>344</v>
      </c>
      <c r="B424" s="630">
        <v>3000</v>
      </c>
      <c r="C424" s="630">
        <v>1000</v>
      </c>
      <c r="D424" s="630" t="str">
        <f t="shared" si="173"/>
        <v>KVI-LL30001000</v>
      </c>
      <c r="E424" s="1046">
        <f t="shared" si="167"/>
        <v>0</v>
      </c>
      <c r="F424" s="631"/>
      <c r="G424" s="632">
        <f>F424*CCBASE!$B$51</f>
        <v>0</v>
      </c>
      <c r="H424" s="632"/>
      <c r="I424" s="632"/>
      <c r="J424" s="632"/>
      <c r="K424" s="632"/>
      <c r="L424" s="631"/>
      <c r="M424" s="632"/>
      <c r="N424" s="632"/>
      <c r="O424" s="632"/>
      <c r="P424" s="632"/>
      <c r="Q424" s="632"/>
      <c r="R424" s="632"/>
      <c r="S424" s="632"/>
      <c r="T424" s="631"/>
      <c r="U424" s="632"/>
      <c r="V424" s="632"/>
      <c r="W424" s="632"/>
      <c r="X424" s="632"/>
      <c r="Y424" s="632"/>
      <c r="Z424" s="632"/>
      <c r="AA424" s="632"/>
      <c r="AB424" s="632"/>
      <c r="AC424" s="632"/>
      <c r="AD424" s="632"/>
      <c r="AI424" s="634"/>
      <c r="AJ424" s="634"/>
      <c r="AN424" s="635"/>
      <c r="AO424" s="635"/>
      <c r="AP424" s="635"/>
      <c r="AQ424" s="635"/>
      <c r="AR424" s="635"/>
      <c r="AS424" s="635"/>
    </row>
    <row r="425" spans="1:45" x14ac:dyDescent="0.2">
      <c r="A425" s="630" t="s">
        <v>345</v>
      </c>
      <c r="B425" s="630">
        <v>1000</v>
      </c>
      <c r="C425" s="630">
        <v>1000</v>
      </c>
      <c r="D425" s="630" t="str">
        <f t="shared" si="173"/>
        <v>UVI-LL10001000</v>
      </c>
      <c r="E425" s="1046">
        <f t="shared" si="167"/>
        <v>0</v>
      </c>
      <c r="F425" s="631"/>
      <c r="G425" s="632">
        <f>F425*CCBASE!$B$51</f>
        <v>0</v>
      </c>
      <c r="H425" s="632"/>
      <c r="I425" s="632"/>
      <c r="J425" s="632"/>
      <c r="K425" s="632"/>
      <c r="L425" s="631"/>
      <c r="M425" s="632"/>
      <c r="N425" s="632"/>
      <c r="O425" s="632"/>
      <c r="P425" s="632"/>
      <c r="Q425" s="632"/>
      <c r="R425" s="632"/>
      <c r="S425" s="632"/>
      <c r="T425" s="631"/>
      <c r="U425" s="632"/>
      <c r="V425" s="632"/>
      <c r="W425" s="632"/>
      <c r="X425" s="632"/>
      <c r="Y425" s="632"/>
      <c r="Z425" s="632"/>
      <c r="AA425" s="632"/>
      <c r="AB425" s="632"/>
      <c r="AC425" s="632"/>
      <c r="AD425" s="632"/>
      <c r="AI425" s="634"/>
      <c r="AJ425" s="634"/>
      <c r="AK425" s="635"/>
      <c r="AL425" s="635"/>
      <c r="AM425" s="635"/>
      <c r="AN425" s="635"/>
      <c r="AO425" s="635"/>
      <c r="AP425" s="635"/>
      <c r="AQ425" s="635"/>
      <c r="AR425" s="635"/>
      <c r="AS425" s="635"/>
    </row>
    <row r="426" spans="1:45" x14ac:dyDescent="0.2">
      <c r="A426" s="630" t="s">
        <v>345</v>
      </c>
      <c r="B426" s="630">
        <v>1250</v>
      </c>
      <c r="C426" s="630">
        <v>1000</v>
      </c>
      <c r="D426" s="630" t="str">
        <f t="shared" si="173"/>
        <v>UVI-LL12501000</v>
      </c>
      <c r="E426" s="1046">
        <f t="shared" si="167"/>
        <v>0</v>
      </c>
      <c r="F426" s="631"/>
      <c r="G426" s="632">
        <f>F426*CCBASE!$B$51</f>
        <v>0</v>
      </c>
      <c r="H426" s="632"/>
      <c r="I426" s="632"/>
      <c r="J426" s="632"/>
      <c r="K426" s="632"/>
      <c r="L426" s="631"/>
      <c r="M426" s="632"/>
      <c r="N426" s="632"/>
      <c r="O426" s="632"/>
      <c r="P426" s="632"/>
      <c r="Q426" s="632"/>
      <c r="R426" s="632"/>
      <c r="S426" s="632"/>
      <c r="T426" s="631"/>
      <c r="U426" s="632"/>
      <c r="V426" s="632"/>
      <c r="W426" s="632"/>
      <c r="X426" s="632"/>
      <c r="Y426" s="632"/>
      <c r="Z426" s="632"/>
      <c r="AA426" s="632"/>
      <c r="AB426" s="632"/>
      <c r="AC426" s="632"/>
      <c r="AD426" s="632"/>
      <c r="AI426" s="634"/>
      <c r="AJ426" s="634"/>
      <c r="AK426" s="635"/>
      <c r="AL426" s="635"/>
      <c r="AM426" s="635"/>
      <c r="AN426" s="635"/>
      <c r="AO426" s="635"/>
      <c r="AP426" s="635"/>
      <c r="AQ426" s="635"/>
      <c r="AR426" s="635"/>
      <c r="AS426" s="635"/>
    </row>
    <row r="427" spans="1:45" x14ac:dyDescent="0.2">
      <c r="A427" s="630" t="s">
        <v>345</v>
      </c>
      <c r="B427" s="630">
        <v>1500</v>
      </c>
      <c r="C427" s="630">
        <v>1000</v>
      </c>
      <c r="D427" s="630" t="str">
        <f t="shared" si="173"/>
        <v>UVI-LL15001000</v>
      </c>
      <c r="E427" s="1046">
        <f t="shared" si="167"/>
        <v>0</v>
      </c>
      <c r="F427" s="631"/>
      <c r="G427" s="632">
        <f>F427*CCBASE!$B$51</f>
        <v>0</v>
      </c>
      <c r="H427" s="632"/>
      <c r="I427" s="632"/>
      <c r="J427" s="632"/>
      <c r="K427" s="632"/>
      <c r="L427" s="631"/>
      <c r="M427" s="632"/>
      <c r="N427" s="632"/>
      <c r="O427" s="632"/>
      <c r="P427" s="632"/>
      <c r="Q427" s="632"/>
      <c r="R427" s="632"/>
      <c r="S427" s="632"/>
      <c r="T427" s="631"/>
      <c r="U427" s="632"/>
      <c r="V427" s="632"/>
      <c r="W427" s="632"/>
      <c r="X427" s="632"/>
      <c r="Y427" s="632"/>
      <c r="Z427" s="632"/>
      <c r="AA427" s="632"/>
      <c r="AB427" s="632"/>
      <c r="AC427" s="632"/>
      <c r="AD427" s="632"/>
      <c r="AI427" s="634"/>
      <c r="AJ427" s="634"/>
      <c r="AK427" s="635"/>
      <c r="AL427" s="635"/>
      <c r="AM427" s="635"/>
      <c r="AN427" s="635"/>
      <c r="AO427" s="635"/>
      <c r="AP427" s="635"/>
      <c r="AQ427" s="635"/>
      <c r="AR427" s="635"/>
      <c r="AS427" s="635"/>
    </row>
    <row r="428" spans="1:45" x14ac:dyDescent="0.2">
      <c r="A428" s="630" t="s">
        <v>345</v>
      </c>
      <c r="B428" s="630">
        <v>1750</v>
      </c>
      <c r="C428" s="630">
        <v>1000</v>
      </c>
      <c r="D428" s="630" t="str">
        <f t="shared" si="173"/>
        <v>UVI-LL17501000</v>
      </c>
      <c r="E428" s="1046">
        <f t="shared" si="167"/>
        <v>0</v>
      </c>
      <c r="F428" s="631"/>
      <c r="G428" s="632">
        <f>F428*CCBASE!$B$51</f>
        <v>0</v>
      </c>
      <c r="H428" s="632"/>
      <c r="I428" s="632"/>
      <c r="J428" s="632"/>
      <c r="K428" s="632"/>
      <c r="L428" s="631"/>
      <c r="M428" s="632"/>
      <c r="N428" s="632"/>
      <c r="O428" s="632"/>
      <c r="P428" s="632"/>
      <c r="Q428" s="632"/>
      <c r="R428" s="632"/>
      <c r="S428" s="632"/>
      <c r="T428" s="631"/>
      <c r="U428" s="632"/>
      <c r="V428" s="632"/>
      <c r="W428" s="632"/>
      <c r="X428" s="632"/>
      <c r="Y428" s="632"/>
      <c r="Z428" s="632"/>
      <c r="AA428" s="632"/>
      <c r="AB428" s="632"/>
      <c r="AC428" s="632"/>
      <c r="AD428" s="632"/>
      <c r="AI428" s="634"/>
      <c r="AJ428" s="634"/>
      <c r="AN428" s="635"/>
      <c r="AO428" s="635"/>
      <c r="AP428" s="635"/>
      <c r="AQ428" s="635"/>
      <c r="AR428" s="635"/>
      <c r="AS428" s="635"/>
    </row>
    <row r="429" spans="1:45" x14ac:dyDescent="0.2">
      <c r="A429" s="630" t="s">
        <v>345</v>
      </c>
      <c r="B429" s="630">
        <v>2000</v>
      </c>
      <c r="C429" s="630">
        <v>1000</v>
      </c>
      <c r="D429" s="630" t="str">
        <f t="shared" si="173"/>
        <v>UVI-LL20001000</v>
      </c>
      <c r="E429" s="1046">
        <f t="shared" si="167"/>
        <v>0</v>
      </c>
      <c r="F429" s="631"/>
      <c r="G429" s="632">
        <f>F429*CCBASE!$B$51</f>
        <v>0</v>
      </c>
      <c r="H429" s="632"/>
      <c r="I429" s="632"/>
      <c r="J429" s="632"/>
      <c r="K429" s="632"/>
      <c r="L429" s="631"/>
      <c r="M429" s="632"/>
      <c r="N429" s="632"/>
      <c r="O429" s="632"/>
      <c r="P429" s="632"/>
      <c r="Q429" s="632"/>
      <c r="R429" s="632"/>
      <c r="S429" s="632"/>
      <c r="T429" s="631"/>
      <c r="U429" s="632"/>
      <c r="V429" s="632"/>
      <c r="W429" s="632"/>
      <c r="X429" s="632"/>
      <c r="Y429" s="632"/>
      <c r="Z429" s="632"/>
      <c r="AA429" s="632"/>
      <c r="AB429" s="632"/>
      <c r="AC429" s="632"/>
      <c r="AD429" s="632"/>
      <c r="AI429" s="634"/>
      <c r="AJ429" s="634"/>
      <c r="AN429" s="635"/>
      <c r="AO429" s="635"/>
      <c r="AP429" s="635"/>
      <c r="AQ429" s="635"/>
      <c r="AR429" s="635"/>
      <c r="AS429" s="635"/>
    </row>
    <row r="430" spans="1:45" x14ac:dyDescent="0.2">
      <c r="A430" s="630" t="s">
        <v>345</v>
      </c>
      <c r="B430" s="630">
        <v>2250</v>
      </c>
      <c r="C430" s="630">
        <v>1000</v>
      </c>
      <c r="D430" s="630" t="str">
        <f t="shared" si="173"/>
        <v>UVI-LL22501000</v>
      </c>
      <c r="E430" s="1046">
        <f t="shared" si="167"/>
        <v>0</v>
      </c>
      <c r="F430" s="631"/>
      <c r="G430" s="632">
        <f>F430*CCBASE!$B$51</f>
        <v>0</v>
      </c>
      <c r="H430" s="632"/>
      <c r="I430" s="632"/>
      <c r="J430" s="632"/>
      <c r="K430" s="632"/>
      <c r="L430" s="631"/>
      <c r="M430" s="632"/>
      <c r="N430" s="632"/>
      <c r="O430" s="632"/>
      <c r="P430" s="632"/>
      <c r="Q430" s="632"/>
      <c r="R430" s="632"/>
      <c r="S430" s="632"/>
      <c r="T430" s="631"/>
      <c r="U430" s="632"/>
      <c r="V430" s="632"/>
      <c r="W430" s="632"/>
      <c r="X430" s="632"/>
      <c r="Y430" s="632"/>
      <c r="Z430" s="632"/>
      <c r="AA430" s="632"/>
      <c r="AB430" s="632"/>
      <c r="AC430" s="632"/>
      <c r="AD430" s="632"/>
      <c r="AI430" s="634"/>
      <c r="AJ430" s="634"/>
      <c r="AN430" s="635"/>
      <c r="AO430" s="635"/>
      <c r="AP430" s="635"/>
      <c r="AQ430" s="635"/>
      <c r="AR430" s="635"/>
      <c r="AS430" s="635"/>
    </row>
    <row r="431" spans="1:45" x14ac:dyDescent="0.2">
      <c r="A431" s="630" t="s">
        <v>345</v>
      </c>
      <c r="B431" s="630">
        <v>2500</v>
      </c>
      <c r="C431" s="630">
        <v>1000</v>
      </c>
      <c r="D431" s="630" t="str">
        <f t="shared" si="173"/>
        <v>UVI-LL25001000</v>
      </c>
      <c r="E431" s="1046">
        <f t="shared" si="167"/>
        <v>0</v>
      </c>
      <c r="F431" s="631"/>
      <c r="G431" s="632">
        <f>F431*CCBASE!$B$51</f>
        <v>0</v>
      </c>
      <c r="H431" s="632"/>
      <c r="I431" s="632"/>
      <c r="J431" s="632"/>
      <c r="K431" s="632"/>
      <c r="L431" s="631"/>
      <c r="M431" s="632"/>
      <c r="N431" s="632"/>
      <c r="O431" s="632"/>
      <c r="P431" s="632"/>
      <c r="Q431" s="632"/>
      <c r="R431" s="632"/>
      <c r="S431" s="632"/>
      <c r="T431" s="631"/>
      <c r="U431" s="632"/>
      <c r="V431" s="632"/>
      <c r="W431" s="632"/>
      <c r="X431" s="632"/>
      <c r="Y431" s="632"/>
      <c r="Z431" s="632"/>
      <c r="AA431" s="632"/>
      <c r="AB431" s="632"/>
      <c r="AC431" s="632"/>
      <c r="AD431" s="632"/>
      <c r="AI431" s="634"/>
      <c r="AJ431" s="634"/>
      <c r="AN431" s="635"/>
      <c r="AO431" s="635"/>
      <c r="AP431" s="635"/>
      <c r="AQ431" s="635"/>
      <c r="AR431" s="635"/>
      <c r="AS431" s="635"/>
    </row>
    <row r="432" spans="1:45" x14ac:dyDescent="0.2">
      <c r="A432" s="630" t="s">
        <v>345</v>
      </c>
      <c r="B432" s="630">
        <v>2750</v>
      </c>
      <c r="C432" s="630">
        <v>1000</v>
      </c>
      <c r="D432" s="630" t="str">
        <f t="shared" si="173"/>
        <v>UVI-LL27501000</v>
      </c>
      <c r="E432" s="1046">
        <f t="shared" si="167"/>
        <v>0</v>
      </c>
      <c r="F432" s="631"/>
      <c r="G432" s="632">
        <f>F432*CCBASE!$B$51</f>
        <v>0</v>
      </c>
      <c r="H432" s="632"/>
      <c r="I432" s="632"/>
      <c r="J432" s="632"/>
      <c r="K432" s="632"/>
      <c r="L432" s="631"/>
      <c r="M432" s="632"/>
      <c r="N432" s="632"/>
      <c r="O432" s="632"/>
      <c r="P432" s="632"/>
      <c r="Q432" s="632"/>
      <c r="R432" s="632"/>
      <c r="S432" s="632"/>
      <c r="T432" s="631"/>
      <c r="U432" s="632"/>
      <c r="V432" s="632"/>
      <c r="W432" s="632"/>
      <c r="X432" s="632"/>
      <c r="Y432" s="632"/>
      <c r="Z432" s="632"/>
      <c r="AA432" s="632"/>
      <c r="AB432" s="632"/>
      <c r="AC432" s="632"/>
      <c r="AD432" s="632"/>
      <c r="AI432" s="634"/>
      <c r="AJ432" s="634"/>
      <c r="AN432" s="635"/>
      <c r="AO432" s="635"/>
      <c r="AP432" s="635"/>
      <c r="AQ432" s="635"/>
      <c r="AR432" s="635"/>
      <c r="AS432" s="635"/>
    </row>
    <row r="433" spans="1:45" x14ac:dyDescent="0.2">
      <c r="A433" s="630" t="s">
        <v>345</v>
      </c>
      <c r="B433" s="630">
        <v>3000</v>
      </c>
      <c r="C433" s="630">
        <v>1000</v>
      </c>
      <c r="D433" s="630" t="str">
        <f t="shared" si="173"/>
        <v>UVI-LL30001000</v>
      </c>
      <c r="E433" s="1046">
        <f t="shared" si="167"/>
        <v>0</v>
      </c>
      <c r="F433" s="631"/>
      <c r="G433" s="632">
        <f>F433*CCBASE!$B$51</f>
        <v>0</v>
      </c>
      <c r="H433" s="632"/>
      <c r="I433" s="632"/>
      <c r="J433" s="632"/>
      <c r="K433" s="632"/>
      <c r="L433" s="631"/>
      <c r="M433" s="632"/>
      <c r="N433" s="632"/>
      <c r="O433" s="632"/>
      <c r="P433" s="632"/>
      <c r="Q433" s="632"/>
      <c r="R433" s="632"/>
      <c r="S433" s="632"/>
      <c r="T433" s="631"/>
      <c r="U433" s="632"/>
      <c r="V433" s="632"/>
      <c r="W433" s="632"/>
      <c r="X433" s="632"/>
      <c r="Y433" s="632"/>
      <c r="Z433" s="632"/>
      <c r="AA433" s="632"/>
      <c r="AB433" s="632"/>
      <c r="AC433" s="632"/>
      <c r="AD433" s="632"/>
      <c r="AI433" s="634"/>
      <c r="AJ433" s="634"/>
      <c r="AN433" s="635"/>
      <c r="AO433" s="635"/>
      <c r="AP433" s="635"/>
      <c r="AQ433" s="635"/>
      <c r="AR433" s="635"/>
      <c r="AS433" s="635"/>
    </row>
    <row r="434" spans="1:45" x14ac:dyDescent="0.2">
      <c r="A434" s="630" t="s">
        <v>761</v>
      </c>
      <c r="B434" s="630">
        <v>1000</v>
      </c>
      <c r="C434" s="630">
        <v>1000</v>
      </c>
      <c r="D434" s="639" t="str">
        <f t="shared" ref="D434:D442" si="174">$A434&amp;B434&amp;C434</f>
        <v>CXW10001000</v>
      </c>
      <c r="E434" s="1046">
        <f t="shared" si="167"/>
        <v>470.83687000000003</v>
      </c>
      <c r="F434" s="631">
        <v>7</v>
      </c>
      <c r="G434" s="632">
        <f>F434*CCBASE!$B$51</f>
        <v>252</v>
      </c>
      <c r="H434" s="632"/>
      <c r="I434" s="632"/>
      <c r="J434" s="632"/>
      <c r="K434" s="632">
        <f>CCBASE!$I$21*B434/1000</f>
        <v>218.83687000000003</v>
      </c>
      <c r="L434" s="632"/>
      <c r="M434" s="632"/>
      <c r="N434" s="632"/>
      <c r="O434" s="632"/>
      <c r="P434" s="631"/>
      <c r="Q434" s="631"/>
      <c r="R434" s="631"/>
      <c r="S434" s="631"/>
      <c r="T434" s="631"/>
      <c r="U434" s="632"/>
      <c r="V434" s="631"/>
      <c r="W434" s="631"/>
      <c r="X434" s="631"/>
      <c r="Y434" s="631"/>
      <c r="Z434" s="631"/>
      <c r="AA434" s="631"/>
      <c r="AB434" s="631"/>
      <c r="AC434" s="631"/>
      <c r="AD434" s="631"/>
    </row>
    <row r="435" spans="1:45" x14ac:dyDescent="0.2">
      <c r="A435" s="630" t="s">
        <v>761</v>
      </c>
      <c r="B435" s="630">
        <v>1250</v>
      </c>
      <c r="C435" s="630">
        <v>1000</v>
      </c>
      <c r="D435" s="639" t="str">
        <f t="shared" si="174"/>
        <v>CXW12501000</v>
      </c>
      <c r="E435" s="1046">
        <f t="shared" si="167"/>
        <v>525.5460875</v>
      </c>
      <c r="F435" s="631">
        <v>7</v>
      </c>
      <c r="G435" s="632">
        <f>F435*CCBASE!$B$51</f>
        <v>252</v>
      </c>
      <c r="H435" s="632"/>
      <c r="I435" s="632"/>
      <c r="J435" s="632"/>
      <c r="K435" s="632">
        <f>CCBASE!$I$21*B435/1000</f>
        <v>273.5460875</v>
      </c>
      <c r="L435" s="632"/>
      <c r="M435" s="632"/>
      <c r="N435" s="632"/>
      <c r="O435" s="632"/>
      <c r="P435" s="631"/>
      <c r="Q435" s="631"/>
      <c r="R435" s="631"/>
      <c r="S435" s="631"/>
      <c r="T435" s="631"/>
      <c r="U435" s="632"/>
      <c r="V435" s="631"/>
      <c r="W435" s="631"/>
      <c r="X435" s="631"/>
      <c r="Y435" s="631"/>
      <c r="Z435" s="631"/>
      <c r="AA435" s="631"/>
      <c r="AB435" s="631"/>
      <c r="AC435" s="631"/>
      <c r="AD435" s="631"/>
    </row>
    <row r="436" spans="1:45" x14ac:dyDescent="0.2">
      <c r="A436" s="630" t="s">
        <v>761</v>
      </c>
      <c r="B436" s="630">
        <v>1500</v>
      </c>
      <c r="C436" s="630">
        <v>1000</v>
      </c>
      <c r="D436" s="639" t="str">
        <f t="shared" si="174"/>
        <v>CXW15001000</v>
      </c>
      <c r="E436" s="1046">
        <f t="shared" si="167"/>
        <v>580.25530500000013</v>
      </c>
      <c r="F436" s="631">
        <v>7</v>
      </c>
      <c r="G436" s="632">
        <f>F436*CCBASE!$B$51</f>
        <v>252</v>
      </c>
      <c r="H436" s="632"/>
      <c r="I436" s="632"/>
      <c r="J436" s="632"/>
      <c r="K436" s="632">
        <f>CCBASE!$I$21*B436/1000</f>
        <v>328.25530500000008</v>
      </c>
      <c r="L436" s="632"/>
      <c r="M436" s="632"/>
      <c r="N436" s="632"/>
      <c r="O436" s="632"/>
      <c r="P436" s="631"/>
      <c r="Q436" s="631"/>
      <c r="R436" s="631"/>
      <c r="S436" s="631"/>
      <c r="T436" s="631"/>
      <c r="U436" s="632"/>
      <c r="V436" s="631"/>
      <c r="W436" s="631"/>
      <c r="X436" s="631"/>
      <c r="Y436" s="631"/>
      <c r="Z436" s="631"/>
      <c r="AA436" s="631"/>
      <c r="AB436" s="631"/>
      <c r="AC436" s="631"/>
      <c r="AD436" s="631"/>
    </row>
    <row r="437" spans="1:45" x14ac:dyDescent="0.2">
      <c r="A437" s="630" t="s">
        <v>761</v>
      </c>
      <c r="B437" s="630">
        <v>1750</v>
      </c>
      <c r="C437" s="630">
        <v>1000</v>
      </c>
      <c r="D437" s="639" t="str">
        <f t="shared" si="174"/>
        <v>CXW17501000</v>
      </c>
      <c r="E437" s="1046">
        <f t="shared" si="167"/>
        <v>670.96452250000016</v>
      </c>
      <c r="F437" s="631">
        <v>8</v>
      </c>
      <c r="G437" s="632">
        <f>F437*CCBASE!$B$51</f>
        <v>288</v>
      </c>
      <c r="H437" s="632"/>
      <c r="I437" s="632"/>
      <c r="J437" s="632"/>
      <c r="K437" s="632">
        <f>CCBASE!$I$21*B437/1000</f>
        <v>382.9645225000001</v>
      </c>
      <c r="L437" s="632"/>
      <c r="M437" s="632"/>
      <c r="N437" s="632"/>
      <c r="O437" s="632"/>
      <c r="P437" s="631"/>
      <c r="Q437" s="631"/>
      <c r="R437" s="631"/>
      <c r="S437" s="631"/>
      <c r="T437" s="631"/>
      <c r="U437" s="632"/>
      <c r="V437" s="631"/>
      <c r="W437" s="631"/>
      <c r="X437" s="631"/>
      <c r="Y437" s="631"/>
      <c r="Z437" s="631"/>
      <c r="AA437" s="631"/>
      <c r="AB437" s="631"/>
      <c r="AC437" s="631"/>
      <c r="AD437" s="631"/>
    </row>
    <row r="438" spans="1:45" x14ac:dyDescent="0.2">
      <c r="A438" s="630" t="s">
        <v>761</v>
      </c>
      <c r="B438" s="630">
        <v>2000</v>
      </c>
      <c r="C438" s="630">
        <v>1000</v>
      </c>
      <c r="D438" s="639" t="str">
        <f t="shared" si="174"/>
        <v>CXW20001000</v>
      </c>
      <c r="E438" s="1046">
        <f t="shared" si="167"/>
        <v>725.67374000000007</v>
      </c>
      <c r="F438" s="631">
        <v>8</v>
      </c>
      <c r="G438" s="632">
        <f>F438*CCBASE!$B$51</f>
        <v>288</v>
      </c>
      <c r="H438" s="632"/>
      <c r="I438" s="632"/>
      <c r="J438" s="632"/>
      <c r="K438" s="632">
        <f>CCBASE!$I$21*B438/1000</f>
        <v>437.67374000000007</v>
      </c>
      <c r="L438" s="632"/>
      <c r="M438" s="632"/>
      <c r="N438" s="632"/>
      <c r="O438" s="632"/>
      <c r="P438" s="631"/>
      <c r="Q438" s="631"/>
      <c r="R438" s="631"/>
      <c r="S438" s="631"/>
      <c r="T438" s="631"/>
      <c r="U438" s="632"/>
      <c r="V438" s="631"/>
      <c r="W438" s="631"/>
      <c r="X438" s="631"/>
      <c r="Y438" s="631"/>
      <c r="Z438" s="631"/>
      <c r="AA438" s="631"/>
      <c r="AB438" s="631"/>
      <c r="AC438" s="631"/>
      <c r="AD438" s="631"/>
    </row>
    <row r="439" spans="1:45" x14ac:dyDescent="0.2">
      <c r="A439" s="630" t="s">
        <v>761</v>
      </c>
      <c r="B439" s="630">
        <v>2250</v>
      </c>
      <c r="C439" s="630">
        <v>1000</v>
      </c>
      <c r="D439" s="639" t="str">
        <f t="shared" si="174"/>
        <v>CXW22501000</v>
      </c>
      <c r="E439" s="1046">
        <f t="shared" si="167"/>
        <v>780.38295750000009</v>
      </c>
      <c r="F439" s="631">
        <v>8</v>
      </c>
      <c r="G439" s="632">
        <f>F439*CCBASE!$B$51</f>
        <v>288</v>
      </c>
      <c r="H439" s="632"/>
      <c r="I439" s="632"/>
      <c r="J439" s="632"/>
      <c r="K439" s="632">
        <f>CCBASE!$I$21*B439/1000</f>
        <v>492.38295750000009</v>
      </c>
      <c r="L439" s="632"/>
      <c r="M439" s="632"/>
      <c r="N439" s="632"/>
      <c r="O439" s="632"/>
      <c r="P439" s="631"/>
      <c r="Q439" s="631"/>
      <c r="R439" s="631"/>
      <c r="S439" s="631"/>
      <c r="T439" s="631"/>
      <c r="U439" s="632"/>
      <c r="V439" s="631"/>
      <c r="W439" s="631"/>
      <c r="X439" s="631"/>
      <c r="Y439" s="631"/>
      <c r="Z439" s="631"/>
      <c r="AA439" s="631"/>
      <c r="AB439" s="631"/>
      <c r="AC439" s="631"/>
      <c r="AD439" s="631"/>
    </row>
    <row r="440" spans="1:45" x14ac:dyDescent="0.2">
      <c r="A440" s="630" t="s">
        <v>761</v>
      </c>
      <c r="B440" s="630">
        <v>2500</v>
      </c>
      <c r="C440" s="630">
        <v>1000</v>
      </c>
      <c r="D440" s="639" t="str">
        <f t="shared" si="174"/>
        <v>CXW25001000</v>
      </c>
      <c r="E440" s="1046">
        <f t="shared" si="167"/>
        <v>835.092175</v>
      </c>
      <c r="F440" s="631">
        <v>8</v>
      </c>
      <c r="G440" s="632">
        <f>F440*CCBASE!$B$51</f>
        <v>288</v>
      </c>
      <c r="H440" s="632"/>
      <c r="I440" s="632"/>
      <c r="J440" s="632"/>
      <c r="K440" s="632">
        <f>CCBASE!$I$21*B440/1000</f>
        <v>547.092175</v>
      </c>
      <c r="L440" s="632"/>
      <c r="M440" s="632"/>
      <c r="N440" s="632"/>
      <c r="O440" s="632"/>
      <c r="P440" s="631"/>
      <c r="Q440" s="631"/>
      <c r="R440" s="631"/>
      <c r="S440" s="631"/>
      <c r="T440" s="631"/>
      <c r="U440" s="632"/>
      <c r="V440" s="631"/>
      <c r="W440" s="631"/>
      <c r="X440" s="631"/>
      <c r="Y440" s="631"/>
      <c r="Z440" s="631"/>
      <c r="AA440" s="631"/>
      <c r="AB440" s="631"/>
      <c r="AC440" s="631"/>
      <c r="AD440" s="631"/>
    </row>
    <row r="441" spans="1:45" x14ac:dyDescent="0.2">
      <c r="A441" s="630" t="s">
        <v>761</v>
      </c>
      <c r="B441" s="630">
        <v>2750</v>
      </c>
      <c r="C441" s="630">
        <v>1000</v>
      </c>
      <c r="D441" s="639" t="str">
        <f t="shared" si="174"/>
        <v>CXW27501000</v>
      </c>
      <c r="E441" s="1046">
        <f t="shared" si="167"/>
        <v>889.80139250000002</v>
      </c>
      <c r="F441" s="631">
        <v>8</v>
      </c>
      <c r="G441" s="632">
        <f>F441*CCBASE!$B$51</f>
        <v>288</v>
      </c>
      <c r="H441" s="632"/>
      <c r="I441" s="632"/>
      <c r="J441" s="632"/>
      <c r="K441" s="632">
        <f>CCBASE!$I$21*B441/1000</f>
        <v>601.80139250000002</v>
      </c>
      <c r="L441" s="632"/>
      <c r="M441" s="632"/>
      <c r="N441" s="632"/>
      <c r="O441" s="632"/>
      <c r="P441" s="631"/>
      <c r="Q441" s="631"/>
      <c r="R441" s="631"/>
      <c r="S441" s="631"/>
      <c r="T441" s="631"/>
      <c r="U441" s="632"/>
      <c r="V441" s="631"/>
      <c r="W441" s="631"/>
      <c r="X441" s="631"/>
      <c r="Y441" s="631"/>
      <c r="Z441" s="631"/>
      <c r="AA441" s="631"/>
      <c r="AB441" s="631"/>
      <c r="AC441" s="631"/>
      <c r="AD441" s="631"/>
    </row>
    <row r="442" spans="1:45" x14ac:dyDescent="0.2">
      <c r="A442" s="630" t="s">
        <v>761</v>
      </c>
      <c r="B442" s="630">
        <v>3000</v>
      </c>
      <c r="C442" s="630">
        <v>1000</v>
      </c>
      <c r="D442" s="639" t="str">
        <f t="shared" si="174"/>
        <v>CXW30001000</v>
      </c>
      <c r="E442" s="1046">
        <f t="shared" si="167"/>
        <v>944.51061000000016</v>
      </c>
      <c r="F442" s="631">
        <v>8</v>
      </c>
      <c r="G442" s="632">
        <f>F442*CCBASE!$B$51</f>
        <v>288</v>
      </c>
      <c r="H442" s="632"/>
      <c r="I442" s="632"/>
      <c r="J442" s="632"/>
      <c r="K442" s="632">
        <f>CCBASE!$I$21*B442/1000</f>
        <v>656.51061000000016</v>
      </c>
      <c r="L442" s="632"/>
      <c r="M442" s="632"/>
      <c r="N442" s="632"/>
      <c r="O442" s="632"/>
      <c r="P442" s="631"/>
      <c r="Q442" s="631"/>
      <c r="R442" s="631"/>
      <c r="S442" s="631"/>
      <c r="T442" s="631"/>
      <c r="U442" s="632"/>
      <c r="V442" s="631"/>
      <c r="W442" s="631"/>
      <c r="X442" s="631"/>
      <c r="Y442" s="631"/>
      <c r="Z442" s="631"/>
      <c r="AA442" s="631"/>
      <c r="AB442" s="631"/>
      <c r="AC442" s="631"/>
      <c r="AD442" s="631"/>
    </row>
    <row r="443" spans="1:45" x14ac:dyDescent="0.2">
      <c r="A443" s="630" t="s">
        <v>761</v>
      </c>
      <c r="B443" s="630">
        <v>1000</v>
      </c>
      <c r="C443" s="630">
        <v>1250</v>
      </c>
      <c r="D443" s="639" t="str">
        <f t="shared" ref="D443:D460" si="175">$A443&amp;B443&amp;C443</f>
        <v>CXW10001250</v>
      </c>
      <c r="E443" s="1046">
        <f t="shared" si="167"/>
        <v>500.40942000000001</v>
      </c>
      <c r="F443" s="631">
        <v>7</v>
      </c>
      <c r="G443" s="632">
        <f>F443*CCBASE!$B$51</f>
        <v>252</v>
      </c>
      <c r="H443" s="632"/>
      <c r="I443" s="632"/>
      <c r="J443" s="632"/>
      <c r="K443" s="632">
        <f>CCBASE!$I$22*B443/1000</f>
        <v>248.40942000000001</v>
      </c>
      <c r="L443" s="632"/>
      <c r="M443" s="632"/>
      <c r="N443" s="632"/>
      <c r="O443" s="632"/>
      <c r="P443" s="631"/>
      <c r="Q443" s="631"/>
      <c r="R443" s="631"/>
      <c r="S443" s="631"/>
      <c r="T443" s="631"/>
      <c r="U443" s="632"/>
      <c r="V443" s="631"/>
      <c r="W443" s="631"/>
      <c r="X443" s="631"/>
      <c r="Y443" s="631"/>
      <c r="Z443" s="631"/>
      <c r="AA443" s="631"/>
      <c r="AB443" s="631"/>
      <c r="AC443" s="631"/>
      <c r="AD443" s="631"/>
    </row>
    <row r="444" spans="1:45" x14ac:dyDescent="0.2">
      <c r="A444" s="630" t="s">
        <v>761</v>
      </c>
      <c r="B444" s="630">
        <v>1250</v>
      </c>
      <c r="C444" s="630">
        <v>1250</v>
      </c>
      <c r="D444" s="639" t="str">
        <f t="shared" si="175"/>
        <v>CXW12501250</v>
      </c>
      <c r="E444" s="1046">
        <f t="shared" si="167"/>
        <v>562.51177499999994</v>
      </c>
      <c r="F444" s="631">
        <v>7</v>
      </c>
      <c r="G444" s="632">
        <f>F444*CCBASE!$B$51</f>
        <v>252</v>
      </c>
      <c r="H444" s="632"/>
      <c r="I444" s="632"/>
      <c r="J444" s="632"/>
      <c r="K444" s="632">
        <f>CCBASE!$I$22*B444/1000</f>
        <v>310.511775</v>
      </c>
      <c r="L444" s="632"/>
      <c r="M444" s="632"/>
      <c r="N444" s="632"/>
      <c r="O444" s="632"/>
      <c r="P444" s="631"/>
      <c r="Q444" s="631"/>
      <c r="R444" s="631"/>
      <c r="S444" s="631"/>
      <c r="T444" s="631"/>
      <c r="U444" s="632"/>
      <c r="V444" s="631"/>
      <c r="W444" s="631"/>
      <c r="X444" s="631"/>
      <c r="Y444" s="631"/>
      <c r="Z444" s="631"/>
      <c r="AA444" s="631"/>
      <c r="AB444" s="631"/>
      <c r="AC444" s="631"/>
      <c r="AD444" s="631"/>
    </row>
    <row r="445" spans="1:45" x14ac:dyDescent="0.2">
      <c r="A445" s="630" t="s">
        <v>761</v>
      </c>
      <c r="B445" s="630">
        <v>1500</v>
      </c>
      <c r="C445" s="630">
        <v>1250</v>
      </c>
      <c r="D445" s="639" t="str">
        <f t="shared" si="175"/>
        <v>CXW15001250</v>
      </c>
      <c r="E445" s="1046">
        <f t="shared" si="167"/>
        <v>624.61412999999993</v>
      </c>
      <c r="F445" s="631">
        <v>7</v>
      </c>
      <c r="G445" s="632">
        <f>F445*CCBASE!$B$51</f>
        <v>252</v>
      </c>
      <c r="H445" s="632"/>
      <c r="I445" s="632"/>
      <c r="J445" s="632"/>
      <c r="K445" s="632">
        <f>CCBASE!$I$22*B445/1000</f>
        <v>372.61412999999999</v>
      </c>
      <c r="L445" s="632"/>
      <c r="M445" s="632"/>
      <c r="N445" s="632"/>
      <c r="O445" s="632"/>
      <c r="P445" s="631"/>
      <c r="Q445" s="631"/>
      <c r="R445" s="631"/>
      <c r="S445" s="631"/>
      <c r="T445" s="631"/>
      <c r="U445" s="632"/>
      <c r="V445" s="631"/>
      <c r="W445" s="631"/>
      <c r="X445" s="631"/>
      <c r="Y445" s="631"/>
      <c r="Z445" s="631"/>
      <c r="AA445" s="631"/>
      <c r="AB445" s="631"/>
      <c r="AC445" s="631"/>
      <c r="AD445" s="631"/>
    </row>
    <row r="446" spans="1:45" x14ac:dyDescent="0.2">
      <c r="A446" s="630" t="s">
        <v>761</v>
      </c>
      <c r="B446" s="630">
        <v>1750</v>
      </c>
      <c r="C446" s="630">
        <v>1250</v>
      </c>
      <c r="D446" s="639" t="str">
        <f t="shared" si="175"/>
        <v>CXW17501250</v>
      </c>
      <c r="E446" s="1046">
        <f t="shared" si="167"/>
        <v>722.71648500000003</v>
      </c>
      <c r="F446" s="631">
        <v>8</v>
      </c>
      <c r="G446" s="632">
        <f>F446*CCBASE!$B$51</f>
        <v>288</v>
      </c>
      <c r="H446" s="632"/>
      <c r="I446" s="632"/>
      <c r="J446" s="632"/>
      <c r="K446" s="632">
        <f>CCBASE!$I$22*B446/1000</f>
        <v>434.71648500000003</v>
      </c>
      <c r="L446" s="632"/>
      <c r="M446" s="632"/>
      <c r="N446" s="632"/>
      <c r="O446" s="632"/>
      <c r="P446" s="631"/>
      <c r="Q446" s="631"/>
      <c r="R446" s="631"/>
      <c r="S446" s="631"/>
      <c r="T446" s="631"/>
      <c r="U446" s="632"/>
      <c r="V446" s="631"/>
      <c r="W446" s="631"/>
      <c r="X446" s="631"/>
      <c r="Y446" s="631"/>
      <c r="Z446" s="631"/>
      <c r="AA446" s="631"/>
      <c r="AB446" s="631"/>
      <c r="AC446" s="631"/>
      <c r="AD446" s="631"/>
    </row>
    <row r="447" spans="1:45" x14ac:dyDescent="0.2">
      <c r="A447" s="630" t="s">
        <v>761</v>
      </c>
      <c r="B447" s="630">
        <v>2000</v>
      </c>
      <c r="C447" s="630">
        <v>1250</v>
      </c>
      <c r="D447" s="639" t="str">
        <f t="shared" si="175"/>
        <v>CXW20001250</v>
      </c>
      <c r="E447" s="1046">
        <f t="shared" si="167"/>
        <v>784.81884000000002</v>
      </c>
      <c r="F447" s="631">
        <v>8</v>
      </c>
      <c r="G447" s="632">
        <f>F447*CCBASE!$B$51</f>
        <v>288</v>
      </c>
      <c r="H447" s="632"/>
      <c r="I447" s="632"/>
      <c r="J447" s="632"/>
      <c r="K447" s="632">
        <f>CCBASE!$I$22*B447/1000</f>
        <v>496.81884000000002</v>
      </c>
      <c r="L447" s="632"/>
      <c r="M447" s="632"/>
      <c r="N447" s="632"/>
      <c r="O447" s="632"/>
      <c r="P447" s="631"/>
      <c r="Q447" s="631"/>
      <c r="R447" s="631"/>
      <c r="S447" s="631"/>
      <c r="T447" s="631"/>
      <c r="U447" s="632"/>
      <c r="V447" s="631"/>
      <c r="W447" s="631"/>
      <c r="X447" s="631"/>
      <c r="Y447" s="631"/>
      <c r="Z447" s="631"/>
      <c r="AA447" s="631"/>
      <c r="AB447" s="631"/>
      <c r="AC447" s="631"/>
      <c r="AD447" s="631"/>
    </row>
    <row r="448" spans="1:45" x14ac:dyDescent="0.2">
      <c r="A448" s="630" t="s">
        <v>761</v>
      </c>
      <c r="B448" s="630">
        <v>2250</v>
      </c>
      <c r="C448" s="630">
        <v>1250</v>
      </c>
      <c r="D448" s="639" t="str">
        <f t="shared" si="175"/>
        <v>CXW22501250</v>
      </c>
      <c r="E448" s="1046">
        <f t="shared" si="167"/>
        <v>846.92119500000001</v>
      </c>
      <c r="F448" s="631">
        <v>8</v>
      </c>
      <c r="G448" s="632">
        <f>F448*CCBASE!$B$51</f>
        <v>288</v>
      </c>
      <c r="H448" s="632"/>
      <c r="I448" s="632"/>
      <c r="J448" s="632"/>
      <c r="K448" s="632">
        <f>CCBASE!$I$22*B448/1000</f>
        <v>558.92119500000001</v>
      </c>
      <c r="L448" s="632"/>
      <c r="M448" s="632"/>
      <c r="N448" s="632"/>
      <c r="O448" s="632"/>
      <c r="P448" s="631"/>
      <c r="Q448" s="631"/>
      <c r="R448" s="631"/>
      <c r="S448" s="631"/>
      <c r="T448" s="631"/>
      <c r="U448" s="632"/>
      <c r="V448" s="631"/>
      <c r="W448" s="631"/>
      <c r="X448" s="631"/>
      <c r="Y448" s="631"/>
      <c r="Z448" s="631"/>
      <c r="AA448" s="631"/>
      <c r="AB448" s="631"/>
      <c r="AC448" s="631"/>
      <c r="AD448" s="631"/>
    </row>
    <row r="449" spans="1:30" x14ac:dyDescent="0.2">
      <c r="A449" s="630" t="s">
        <v>761</v>
      </c>
      <c r="B449" s="630">
        <v>2500</v>
      </c>
      <c r="C449" s="630">
        <v>1250</v>
      </c>
      <c r="D449" s="639" t="str">
        <f t="shared" si="175"/>
        <v>CXW25001250</v>
      </c>
      <c r="E449" s="1046">
        <f t="shared" si="167"/>
        <v>909.02355</v>
      </c>
      <c r="F449" s="631">
        <v>8</v>
      </c>
      <c r="G449" s="632">
        <f>F449*CCBASE!$B$51</f>
        <v>288</v>
      </c>
      <c r="H449" s="632"/>
      <c r="I449" s="632"/>
      <c r="J449" s="632"/>
      <c r="K449" s="632">
        <f>CCBASE!$I$22*B449/1000</f>
        <v>621.02355</v>
      </c>
      <c r="L449" s="632"/>
      <c r="M449" s="632"/>
      <c r="N449" s="632"/>
      <c r="O449" s="632"/>
      <c r="P449" s="631"/>
      <c r="Q449" s="631"/>
      <c r="R449" s="631"/>
      <c r="S449" s="631"/>
      <c r="T449" s="631"/>
      <c r="U449" s="632"/>
      <c r="V449" s="631"/>
      <c r="W449" s="631"/>
      <c r="X449" s="631"/>
      <c r="Y449" s="631"/>
      <c r="Z449" s="631"/>
      <c r="AA449" s="631"/>
      <c r="AB449" s="631"/>
      <c r="AC449" s="631"/>
      <c r="AD449" s="631"/>
    </row>
    <row r="450" spans="1:30" x14ac:dyDescent="0.2">
      <c r="A450" s="630" t="s">
        <v>761</v>
      </c>
      <c r="B450" s="630">
        <v>2750</v>
      </c>
      <c r="C450" s="630">
        <v>1250</v>
      </c>
      <c r="D450" s="639" t="str">
        <f t="shared" si="175"/>
        <v>CXW27501250</v>
      </c>
      <c r="E450" s="1046">
        <f t="shared" si="167"/>
        <v>971.12590499999999</v>
      </c>
      <c r="F450" s="631">
        <v>8</v>
      </c>
      <c r="G450" s="632">
        <f>F450*CCBASE!$B$51</f>
        <v>288</v>
      </c>
      <c r="H450" s="632"/>
      <c r="I450" s="632"/>
      <c r="J450" s="632"/>
      <c r="K450" s="632">
        <f>CCBASE!$I$22*B450/1000</f>
        <v>683.12590499999999</v>
      </c>
      <c r="L450" s="632"/>
      <c r="M450" s="632"/>
      <c r="N450" s="632"/>
      <c r="O450" s="632"/>
      <c r="P450" s="631"/>
      <c r="Q450" s="631"/>
      <c r="R450" s="631"/>
      <c r="S450" s="631"/>
      <c r="T450" s="631"/>
      <c r="U450" s="632"/>
      <c r="V450" s="631"/>
      <c r="W450" s="631"/>
      <c r="X450" s="631"/>
      <c r="Y450" s="631"/>
      <c r="Z450" s="631"/>
      <c r="AA450" s="631"/>
      <c r="AB450" s="631"/>
      <c r="AC450" s="631"/>
      <c r="AD450" s="631"/>
    </row>
    <row r="451" spans="1:30" x14ac:dyDescent="0.2">
      <c r="A451" s="630" t="s">
        <v>761</v>
      </c>
      <c r="B451" s="630">
        <v>3000</v>
      </c>
      <c r="C451" s="630">
        <v>1250</v>
      </c>
      <c r="D451" s="639" t="str">
        <f t="shared" si="175"/>
        <v>CXW30001250</v>
      </c>
      <c r="E451" s="1046">
        <f t="shared" si="167"/>
        <v>1033.2282599999999</v>
      </c>
      <c r="F451" s="631">
        <v>8</v>
      </c>
      <c r="G451" s="632">
        <f>F451*CCBASE!$B$51</f>
        <v>288</v>
      </c>
      <c r="H451" s="632"/>
      <c r="I451" s="632"/>
      <c r="J451" s="632"/>
      <c r="K451" s="632">
        <f>CCBASE!$I$22*B451/1000</f>
        <v>745.22825999999998</v>
      </c>
      <c r="L451" s="632"/>
      <c r="M451" s="632"/>
      <c r="N451" s="632"/>
      <c r="O451" s="632"/>
      <c r="P451" s="631"/>
      <c r="Q451" s="631"/>
      <c r="R451" s="631"/>
      <c r="S451" s="631"/>
      <c r="T451" s="631"/>
      <c r="U451" s="632"/>
      <c r="V451" s="631"/>
      <c r="W451" s="631"/>
      <c r="X451" s="631"/>
      <c r="Y451" s="631"/>
      <c r="Z451" s="631"/>
      <c r="AA451" s="631"/>
      <c r="AB451" s="631"/>
      <c r="AC451" s="631"/>
      <c r="AD451" s="631"/>
    </row>
    <row r="452" spans="1:30" x14ac:dyDescent="0.2">
      <c r="A452" s="630" t="s">
        <v>761</v>
      </c>
      <c r="B452" s="630">
        <v>1000</v>
      </c>
      <c r="C452" s="630">
        <v>1500</v>
      </c>
      <c r="D452" s="639" t="str">
        <f t="shared" si="175"/>
        <v>CXW10001500</v>
      </c>
      <c r="E452" s="1046">
        <f t="shared" si="167"/>
        <v>538.85373499999992</v>
      </c>
      <c r="F452" s="631">
        <v>7</v>
      </c>
      <c r="G452" s="632">
        <f>F452*CCBASE!$B$51</f>
        <v>252</v>
      </c>
      <c r="H452" s="632"/>
      <c r="I452" s="632"/>
      <c r="J452" s="632"/>
      <c r="K452" s="632">
        <f>CCBASE!$I$23*B452/1000</f>
        <v>286.85373499999997</v>
      </c>
      <c r="L452" s="632"/>
      <c r="M452" s="632"/>
      <c r="N452" s="632"/>
      <c r="O452" s="632"/>
      <c r="P452" s="631"/>
      <c r="Q452" s="631"/>
      <c r="R452" s="631"/>
      <c r="S452" s="631"/>
      <c r="T452" s="631"/>
      <c r="U452" s="632"/>
      <c r="V452" s="631"/>
      <c r="W452" s="631"/>
      <c r="X452" s="631"/>
      <c r="Y452" s="631"/>
      <c r="Z452" s="631"/>
      <c r="AA452" s="631"/>
      <c r="AB452" s="631"/>
      <c r="AC452" s="631"/>
      <c r="AD452" s="631"/>
    </row>
    <row r="453" spans="1:30" x14ac:dyDescent="0.2">
      <c r="A453" s="630" t="s">
        <v>761</v>
      </c>
      <c r="B453" s="630">
        <v>1250</v>
      </c>
      <c r="C453" s="630">
        <v>1500</v>
      </c>
      <c r="D453" s="639" t="str">
        <f t="shared" si="175"/>
        <v>CXW12501500</v>
      </c>
      <c r="E453" s="1046">
        <f t="shared" si="167"/>
        <v>610.56716874999995</v>
      </c>
      <c r="F453" s="631">
        <v>7</v>
      </c>
      <c r="G453" s="632">
        <f>F453*CCBASE!$B$51</f>
        <v>252</v>
      </c>
      <c r="H453" s="632"/>
      <c r="I453" s="632"/>
      <c r="J453" s="632"/>
      <c r="K453" s="632">
        <f>CCBASE!$I$23*B453/1000</f>
        <v>358.56716874999995</v>
      </c>
      <c r="L453" s="632"/>
      <c r="M453" s="632"/>
      <c r="N453" s="632"/>
      <c r="O453" s="632"/>
      <c r="P453" s="631"/>
      <c r="Q453" s="631"/>
      <c r="R453" s="631"/>
      <c r="S453" s="631"/>
      <c r="T453" s="631"/>
      <c r="U453" s="632"/>
      <c r="V453" s="631"/>
      <c r="W453" s="631"/>
      <c r="X453" s="631"/>
      <c r="Y453" s="631"/>
      <c r="Z453" s="631"/>
      <c r="AA453" s="631"/>
      <c r="AB453" s="631"/>
      <c r="AC453" s="631"/>
      <c r="AD453" s="631"/>
    </row>
    <row r="454" spans="1:30" x14ac:dyDescent="0.2">
      <c r="A454" s="630" t="s">
        <v>761</v>
      </c>
      <c r="B454" s="630">
        <v>1500</v>
      </c>
      <c r="C454" s="630">
        <v>1500</v>
      </c>
      <c r="D454" s="639" t="str">
        <f t="shared" si="175"/>
        <v>CXW15001500</v>
      </c>
      <c r="E454" s="1046">
        <f t="shared" si="167"/>
        <v>682.28060249999999</v>
      </c>
      <c r="F454" s="631">
        <v>7</v>
      </c>
      <c r="G454" s="632">
        <f>F454*CCBASE!$B$51</f>
        <v>252</v>
      </c>
      <c r="H454" s="632"/>
      <c r="I454" s="632"/>
      <c r="J454" s="632"/>
      <c r="K454" s="632">
        <f>CCBASE!$I$23*B454/1000</f>
        <v>430.28060249999999</v>
      </c>
      <c r="L454" s="632"/>
      <c r="M454" s="632"/>
      <c r="N454" s="632"/>
      <c r="O454" s="632"/>
      <c r="P454" s="631"/>
      <c r="Q454" s="631"/>
      <c r="R454" s="631"/>
      <c r="S454" s="631"/>
      <c r="T454" s="631"/>
      <c r="U454" s="632"/>
      <c r="V454" s="631"/>
      <c r="W454" s="631"/>
      <c r="X454" s="631"/>
      <c r="Y454" s="631"/>
      <c r="Z454" s="631"/>
      <c r="AA454" s="631"/>
      <c r="AB454" s="631"/>
      <c r="AC454" s="631"/>
      <c r="AD454" s="631"/>
    </row>
    <row r="455" spans="1:30" x14ac:dyDescent="0.2">
      <c r="A455" s="630" t="s">
        <v>761</v>
      </c>
      <c r="B455" s="630">
        <v>1750</v>
      </c>
      <c r="C455" s="630">
        <v>1500</v>
      </c>
      <c r="D455" s="639" t="str">
        <f t="shared" si="175"/>
        <v>CXW17501500</v>
      </c>
      <c r="E455" s="1046">
        <f t="shared" si="167"/>
        <v>789.99403624999991</v>
      </c>
      <c r="F455" s="631">
        <v>8</v>
      </c>
      <c r="G455" s="632">
        <f>F455*CCBASE!$B$51</f>
        <v>288</v>
      </c>
      <c r="H455" s="632"/>
      <c r="I455" s="632"/>
      <c r="J455" s="632"/>
      <c r="K455" s="632">
        <f>CCBASE!$I$23*B455/1000</f>
        <v>501.99403624999997</v>
      </c>
      <c r="L455" s="632"/>
      <c r="M455" s="632"/>
      <c r="N455" s="632"/>
      <c r="O455" s="632"/>
      <c r="P455" s="631"/>
      <c r="Q455" s="631"/>
      <c r="R455" s="631"/>
      <c r="S455" s="631"/>
      <c r="T455" s="631"/>
      <c r="U455" s="632"/>
      <c r="V455" s="631"/>
      <c r="W455" s="631"/>
      <c r="X455" s="631"/>
      <c r="Y455" s="631"/>
      <c r="Z455" s="631"/>
      <c r="AA455" s="631"/>
      <c r="AB455" s="631"/>
      <c r="AC455" s="631"/>
      <c r="AD455" s="631"/>
    </row>
    <row r="456" spans="1:30" x14ac:dyDescent="0.2">
      <c r="A456" s="630" t="s">
        <v>761</v>
      </c>
      <c r="B456" s="630">
        <v>2000</v>
      </c>
      <c r="C456" s="630">
        <v>1500</v>
      </c>
      <c r="D456" s="639" t="str">
        <f t="shared" si="175"/>
        <v>CXW20001500</v>
      </c>
      <c r="E456" s="1046">
        <f t="shared" si="167"/>
        <v>861.70746999999994</v>
      </c>
      <c r="F456" s="631">
        <v>8</v>
      </c>
      <c r="G456" s="632">
        <f>F456*CCBASE!$B$51</f>
        <v>288</v>
      </c>
      <c r="H456" s="632"/>
      <c r="I456" s="632"/>
      <c r="J456" s="632"/>
      <c r="K456" s="632">
        <f>CCBASE!$I$23*B456/1000</f>
        <v>573.70746999999994</v>
      </c>
      <c r="L456" s="632"/>
      <c r="M456" s="632"/>
      <c r="N456" s="632"/>
      <c r="O456" s="632"/>
      <c r="P456" s="631"/>
      <c r="Q456" s="631"/>
      <c r="R456" s="631"/>
      <c r="S456" s="631"/>
      <c r="T456" s="631"/>
      <c r="U456" s="632"/>
      <c r="V456" s="631"/>
      <c r="W456" s="631"/>
      <c r="X456" s="631"/>
      <c r="Y456" s="631"/>
      <c r="Z456" s="631"/>
      <c r="AA456" s="631"/>
      <c r="AB456" s="631"/>
      <c r="AC456" s="631"/>
      <c r="AD456" s="631"/>
    </row>
    <row r="457" spans="1:30" x14ac:dyDescent="0.2">
      <c r="A457" s="630" t="s">
        <v>761</v>
      </c>
      <c r="B457" s="630">
        <v>2250</v>
      </c>
      <c r="C457" s="630">
        <v>1500</v>
      </c>
      <c r="D457" s="639" t="str">
        <f t="shared" si="175"/>
        <v>CXW22501500</v>
      </c>
      <c r="E457" s="1046">
        <f t="shared" si="167"/>
        <v>933.42090374999998</v>
      </c>
      <c r="F457" s="631">
        <v>8</v>
      </c>
      <c r="G457" s="632">
        <f>F457*CCBASE!$B$51</f>
        <v>288</v>
      </c>
      <c r="H457" s="632"/>
      <c r="I457" s="632"/>
      <c r="J457" s="632"/>
      <c r="K457" s="632">
        <f>CCBASE!$I$23*B457/1000</f>
        <v>645.42090374999998</v>
      </c>
      <c r="L457" s="632"/>
      <c r="M457" s="632"/>
      <c r="N457" s="632"/>
      <c r="O457" s="632"/>
      <c r="P457" s="631"/>
      <c r="Q457" s="631"/>
      <c r="R457" s="631"/>
      <c r="S457" s="631"/>
      <c r="T457" s="631"/>
      <c r="U457" s="632"/>
      <c r="V457" s="631"/>
      <c r="W457" s="631"/>
      <c r="X457" s="631"/>
      <c r="Y457" s="631"/>
      <c r="Z457" s="631"/>
      <c r="AA457" s="631"/>
      <c r="AB457" s="631"/>
      <c r="AC457" s="631"/>
      <c r="AD457" s="631"/>
    </row>
    <row r="458" spans="1:30" x14ac:dyDescent="0.2">
      <c r="A458" s="630" t="s">
        <v>761</v>
      </c>
      <c r="B458" s="630">
        <v>2500</v>
      </c>
      <c r="C458" s="630">
        <v>1500</v>
      </c>
      <c r="D458" s="639" t="str">
        <f t="shared" si="175"/>
        <v>CXW25001500</v>
      </c>
      <c r="E458" s="1046">
        <f t="shared" si="167"/>
        <v>1005.1343374999999</v>
      </c>
      <c r="F458" s="631">
        <v>8</v>
      </c>
      <c r="G458" s="632">
        <f>F458*CCBASE!$B$51</f>
        <v>288</v>
      </c>
      <c r="H458" s="632"/>
      <c r="I458" s="632"/>
      <c r="J458" s="632"/>
      <c r="K458" s="632">
        <f>CCBASE!$I$23*B458/1000</f>
        <v>717.1343374999999</v>
      </c>
      <c r="L458" s="632"/>
      <c r="M458" s="632"/>
      <c r="N458" s="632"/>
      <c r="O458" s="632"/>
      <c r="P458" s="631"/>
      <c r="Q458" s="631"/>
      <c r="R458" s="631"/>
      <c r="S458" s="631"/>
      <c r="T458" s="631"/>
      <c r="U458" s="632"/>
      <c r="V458" s="631"/>
      <c r="W458" s="631"/>
      <c r="X458" s="631"/>
      <c r="Y458" s="631"/>
      <c r="Z458" s="631"/>
      <c r="AA458" s="631"/>
      <c r="AB458" s="631"/>
      <c r="AC458" s="631"/>
      <c r="AD458" s="631"/>
    </row>
    <row r="459" spans="1:30" x14ac:dyDescent="0.2">
      <c r="A459" s="630" t="s">
        <v>761</v>
      </c>
      <c r="B459" s="630">
        <v>2750</v>
      </c>
      <c r="C459" s="630">
        <v>1500</v>
      </c>
      <c r="D459" s="639" t="str">
        <f t="shared" si="175"/>
        <v>CXW27501500</v>
      </c>
      <c r="E459" s="1046">
        <f t="shared" si="167"/>
        <v>1076.8477712499998</v>
      </c>
      <c r="F459" s="631">
        <v>8</v>
      </c>
      <c r="G459" s="632">
        <f>F459*CCBASE!$B$51</f>
        <v>288</v>
      </c>
      <c r="H459" s="632"/>
      <c r="I459" s="632"/>
      <c r="J459" s="632"/>
      <c r="K459" s="632">
        <f>CCBASE!$I$23*B459/1000</f>
        <v>788.84777124999982</v>
      </c>
      <c r="L459" s="632"/>
      <c r="M459" s="632"/>
      <c r="N459" s="632"/>
      <c r="O459" s="632"/>
      <c r="P459" s="631"/>
      <c r="Q459" s="631"/>
      <c r="R459" s="631"/>
      <c r="S459" s="631"/>
      <c r="T459" s="631"/>
      <c r="U459" s="632"/>
      <c r="V459" s="631"/>
      <c r="W459" s="631"/>
      <c r="X459" s="631"/>
      <c r="Y459" s="631"/>
      <c r="Z459" s="631"/>
      <c r="AA459" s="631"/>
      <c r="AB459" s="631"/>
      <c r="AC459" s="631"/>
      <c r="AD459" s="631"/>
    </row>
    <row r="460" spans="1:30" x14ac:dyDescent="0.2">
      <c r="A460" s="630" t="s">
        <v>761</v>
      </c>
      <c r="B460" s="630">
        <v>3000</v>
      </c>
      <c r="C460" s="630">
        <v>1500</v>
      </c>
      <c r="D460" s="639" t="str">
        <f t="shared" si="175"/>
        <v>CXW30001500</v>
      </c>
      <c r="E460" s="1046">
        <f t="shared" si="167"/>
        <v>1148.561205</v>
      </c>
      <c r="F460" s="631">
        <v>8</v>
      </c>
      <c r="G460" s="632">
        <f>F460*CCBASE!$B$51</f>
        <v>288</v>
      </c>
      <c r="H460" s="632"/>
      <c r="I460" s="632"/>
      <c r="J460" s="632"/>
      <c r="K460" s="632">
        <f>CCBASE!$I$23*B460/1000</f>
        <v>860.56120499999997</v>
      </c>
      <c r="L460" s="632"/>
      <c r="M460" s="632"/>
      <c r="N460" s="632"/>
      <c r="O460" s="632"/>
      <c r="P460" s="631"/>
      <c r="Q460" s="631"/>
      <c r="R460" s="631"/>
      <c r="S460" s="631"/>
      <c r="T460" s="631"/>
      <c r="U460" s="632"/>
      <c r="V460" s="631"/>
      <c r="W460" s="631"/>
      <c r="X460" s="631"/>
      <c r="Y460" s="631"/>
      <c r="Z460" s="631"/>
      <c r="AA460" s="631"/>
      <c r="AB460" s="631"/>
      <c r="AC460" s="631"/>
      <c r="AD460" s="631"/>
    </row>
    <row r="461" spans="1:30" x14ac:dyDescent="0.2">
      <c r="A461" s="630" t="s">
        <v>761</v>
      </c>
      <c r="B461" s="630">
        <v>1000</v>
      </c>
      <c r="C461" s="630">
        <v>1750</v>
      </c>
      <c r="D461" s="639" t="str">
        <f t="shared" ref="D461:D469" si="176">$A461&amp;B461&amp;C461</f>
        <v>CXW10001750</v>
      </c>
      <c r="E461" s="1046">
        <f t="shared" si="167"/>
        <v>666.01569999999992</v>
      </c>
      <c r="F461" s="631">
        <v>7</v>
      </c>
      <c r="G461" s="632">
        <f>F461*CCBASE!$B$51</f>
        <v>252</v>
      </c>
      <c r="H461" s="632"/>
      <c r="I461" s="632"/>
      <c r="J461" s="632"/>
      <c r="K461" s="632">
        <f>CCBASE!$I$24*B461/1000</f>
        <v>414.01569999999998</v>
      </c>
      <c r="L461" s="632"/>
      <c r="M461" s="632"/>
      <c r="N461" s="632"/>
      <c r="O461" s="632"/>
      <c r="P461" s="631"/>
      <c r="Q461" s="631"/>
      <c r="R461" s="631"/>
      <c r="S461" s="631"/>
      <c r="T461" s="631"/>
      <c r="U461" s="632"/>
      <c r="V461" s="631"/>
      <c r="W461" s="631"/>
      <c r="X461" s="631"/>
      <c r="Y461" s="631"/>
      <c r="Z461" s="631"/>
      <c r="AA461" s="631"/>
      <c r="AB461" s="631"/>
      <c r="AC461" s="631"/>
      <c r="AD461" s="631"/>
    </row>
    <row r="462" spans="1:30" x14ac:dyDescent="0.2">
      <c r="A462" s="630" t="s">
        <v>761</v>
      </c>
      <c r="B462" s="630">
        <v>1250</v>
      </c>
      <c r="C462" s="630">
        <v>1750</v>
      </c>
      <c r="D462" s="639" t="str">
        <f t="shared" si="176"/>
        <v>CXW12501750</v>
      </c>
      <c r="E462" s="1046">
        <f t="shared" si="167"/>
        <v>769.51962499999991</v>
      </c>
      <c r="F462" s="631">
        <v>7</v>
      </c>
      <c r="G462" s="632">
        <f>F462*CCBASE!$B$51</f>
        <v>252</v>
      </c>
      <c r="H462" s="632"/>
      <c r="I462" s="632"/>
      <c r="J462" s="632"/>
      <c r="K462" s="632">
        <f>CCBASE!$I$24*B462/1000</f>
        <v>517.51962499999991</v>
      </c>
      <c r="L462" s="632"/>
      <c r="M462" s="632"/>
      <c r="N462" s="632"/>
      <c r="O462" s="632"/>
      <c r="P462" s="631"/>
      <c r="Q462" s="631"/>
      <c r="R462" s="631"/>
      <c r="S462" s="631"/>
      <c r="T462" s="631"/>
      <c r="U462" s="632"/>
      <c r="V462" s="631"/>
      <c r="W462" s="631"/>
      <c r="X462" s="631"/>
      <c r="Y462" s="631"/>
      <c r="Z462" s="631"/>
      <c r="AA462" s="631"/>
      <c r="AB462" s="631"/>
      <c r="AC462" s="631"/>
      <c r="AD462" s="631"/>
    </row>
    <row r="463" spans="1:30" x14ac:dyDescent="0.2">
      <c r="A463" s="630" t="s">
        <v>761</v>
      </c>
      <c r="B463" s="630">
        <v>1500</v>
      </c>
      <c r="C463" s="630">
        <v>1750</v>
      </c>
      <c r="D463" s="639" t="str">
        <f t="shared" si="176"/>
        <v>CXW15001750</v>
      </c>
      <c r="E463" s="1046">
        <f t="shared" si="167"/>
        <v>873.02354999999989</v>
      </c>
      <c r="F463" s="631">
        <v>7</v>
      </c>
      <c r="G463" s="632">
        <f>F463*CCBASE!$B$51</f>
        <v>252</v>
      </c>
      <c r="H463" s="632"/>
      <c r="I463" s="632"/>
      <c r="J463" s="632"/>
      <c r="K463" s="632">
        <f>CCBASE!$I$24*B463/1000</f>
        <v>621.02354999999989</v>
      </c>
      <c r="L463" s="632"/>
      <c r="M463" s="632"/>
      <c r="N463" s="632"/>
      <c r="O463" s="632"/>
      <c r="P463" s="631"/>
      <c r="Q463" s="631"/>
      <c r="R463" s="631"/>
      <c r="S463" s="631"/>
      <c r="T463" s="631"/>
      <c r="U463" s="632"/>
      <c r="V463" s="631"/>
      <c r="W463" s="631"/>
      <c r="X463" s="631"/>
      <c r="Y463" s="631"/>
      <c r="Z463" s="631"/>
      <c r="AA463" s="631"/>
      <c r="AB463" s="631"/>
      <c r="AC463" s="631"/>
      <c r="AD463" s="631"/>
    </row>
    <row r="464" spans="1:30" x14ac:dyDescent="0.2">
      <c r="A464" s="630" t="s">
        <v>761</v>
      </c>
      <c r="B464" s="630">
        <v>1750</v>
      </c>
      <c r="C464" s="630">
        <v>1750</v>
      </c>
      <c r="D464" s="639" t="str">
        <f t="shared" si="176"/>
        <v>CXW17501750</v>
      </c>
      <c r="E464" s="1046">
        <f t="shared" si="167"/>
        <v>1012.5274749999999</v>
      </c>
      <c r="F464" s="631">
        <v>8</v>
      </c>
      <c r="G464" s="632">
        <f>F464*CCBASE!$B$51</f>
        <v>288</v>
      </c>
      <c r="H464" s="632"/>
      <c r="I464" s="632"/>
      <c r="J464" s="632"/>
      <c r="K464" s="632">
        <f>CCBASE!$I$24*B464/1000</f>
        <v>724.52747499999987</v>
      </c>
      <c r="L464" s="632"/>
      <c r="M464" s="632"/>
      <c r="N464" s="632"/>
      <c r="O464" s="632"/>
      <c r="P464" s="631"/>
      <c r="Q464" s="631"/>
      <c r="R464" s="631"/>
      <c r="S464" s="631"/>
      <c r="T464" s="631"/>
      <c r="U464" s="632"/>
      <c r="V464" s="631"/>
      <c r="W464" s="631"/>
      <c r="X464" s="631"/>
      <c r="Y464" s="631"/>
      <c r="Z464" s="631"/>
      <c r="AA464" s="631"/>
      <c r="AB464" s="631"/>
      <c r="AC464" s="631"/>
      <c r="AD464" s="631"/>
    </row>
    <row r="465" spans="1:30" x14ac:dyDescent="0.2">
      <c r="A465" s="630" t="s">
        <v>761</v>
      </c>
      <c r="B465" s="630">
        <v>2000</v>
      </c>
      <c r="C465" s="630">
        <v>1750</v>
      </c>
      <c r="D465" s="639" t="str">
        <f t="shared" si="176"/>
        <v>CXW20001750</v>
      </c>
      <c r="E465" s="1046">
        <f t="shared" si="167"/>
        <v>1116.0313999999998</v>
      </c>
      <c r="F465" s="631">
        <v>8</v>
      </c>
      <c r="G465" s="632">
        <f>F465*CCBASE!$B$51</f>
        <v>288</v>
      </c>
      <c r="H465" s="632"/>
      <c r="I465" s="632"/>
      <c r="J465" s="632"/>
      <c r="K465" s="632">
        <f>CCBASE!$I$24*B465/1000</f>
        <v>828.03139999999996</v>
      </c>
      <c r="L465" s="632"/>
      <c r="M465" s="632"/>
      <c r="N465" s="632"/>
      <c r="O465" s="632"/>
      <c r="P465" s="631"/>
      <c r="Q465" s="631"/>
      <c r="R465" s="631"/>
      <c r="S465" s="631"/>
      <c r="T465" s="631"/>
      <c r="U465" s="632"/>
      <c r="V465" s="631"/>
      <c r="W465" s="631"/>
      <c r="X465" s="631"/>
      <c r="Y465" s="631"/>
      <c r="Z465" s="631"/>
      <c r="AA465" s="631"/>
      <c r="AB465" s="631"/>
      <c r="AC465" s="631"/>
      <c r="AD465" s="631"/>
    </row>
    <row r="466" spans="1:30" x14ac:dyDescent="0.2">
      <c r="A466" s="630" t="s">
        <v>761</v>
      </c>
      <c r="B466" s="630">
        <v>2250</v>
      </c>
      <c r="C466" s="630">
        <v>1750</v>
      </c>
      <c r="D466" s="639" t="str">
        <f t="shared" si="176"/>
        <v>CXW22501750</v>
      </c>
      <c r="E466" s="1046">
        <f t="shared" si="167"/>
        <v>1219.5353249999998</v>
      </c>
      <c r="F466" s="631">
        <v>8</v>
      </c>
      <c r="G466" s="632">
        <f>F466*CCBASE!$B$51</f>
        <v>288</v>
      </c>
      <c r="H466" s="632"/>
      <c r="I466" s="632"/>
      <c r="J466" s="632"/>
      <c r="K466" s="632">
        <f>CCBASE!$I$24*B466/1000</f>
        <v>931.53532499999983</v>
      </c>
      <c r="L466" s="632"/>
      <c r="M466" s="632"/>
      <c r="N466" s="632"/>
      <c r="O466" s="632"/>
      <c r="P466" s="631"/>
      <c r="Q466" s="631"/>
      <c r="R466" s="631"/>
      <c r="S466" s="631"/>
      <c r="T466" s="631"/>
      <c r="U466" s="632"/>
      <c r="V466" s="631"/>
      <c r="W466" s="631"/>
      <c r="X466" s="631"/>
      <c r="Y466" s="631"/>
      <c r="Z466" s="631"/>
      <c r="AA466" s="631"/>
      <c r="AB466" s="631"/>
      <c r="AC466" s="631"/>
      <c r="AD466" s="631"/>
    </row>
    <row r="467" spans="1:30" x14ac:dyDescent="0.2">
      <c r="A467" s="630" t="s">
        <v>761</v>
      </c>
      <c r="B467" s="630">
        <v>2500</v>
      </c>
      <c r="C467" s="630">
        <v>1750</v>
      </c>
      <c r="D467" s="639" t="str">
        <f t="shared" si="176"/>
        <v>CXW25001750</v>
      </c>
      <c r="E467" s="1046">
        <f t="shared" si="167"/>
        <v>1323.0392499999998</v>
      </c>
      <c r="F467" s="631">
        <v>8</v>
      </c>
      <c r="G467" s="632">
        <f>F467*CCBASE!$B$51</f>
        <v>288</v>
      </c>
      <c r="H467" s="632"/>
      <c r="I467" s="632"/>
      <c r="J467" s="632"/>
      <c r="K467" s="632">
        <f>CCBASE!$I$24*B467/1000</f>
        <v>1035.0392499999998</v>
      </c>
      <c r="L467" s="632"/>
      <c r="M467" s="632"/>
      <c r="N467" s="632"/>
      <c r="O467" s="632"/>
      <c r="P467" s="631"/>
      <c r="Q467" s="631"/>
      <c r="R467" s="631"/>
      <c r="S467" s="631"/>
      <c r="T467" s="631"/>
      <c r="U467" s="632"/>
      <c r="V467" s="631"/>
      <c r="W467" s="631"/>
      <c r="X467" s="631"/>
      <c r="Y467" s="631"/>
      <c r="Z467" s="631"/>
      <c r="AA467" s="631"/>
      <c r="AB467" s="631"/>
      <c r="AC467" s="631"/>
      <c r="AD467" s="631"/>
    </row>
    <row r="468" spans="1:30" x14ac:dyDescent="0.2">
      <c r="A468" s="630" t="s">
        <v>761</v>
      </c>
      <c r="B468" s="630">
        <v>2750</v>
      </c>
      <c r="C468" s="630">
        <v>1750</v>
      </c>
      <c r="D468" s="639" t="str">
        <f t="shared" si="176"/>
        <v>CXW27501750</v>
      </c>
      <c r="E468" s="1046">
        <f t="shared" si="167"/>
        <v>1426.5431749999998</v>
      </c>
      <c r="F468" s="631">
        <v>8</v>
      </c>
      <c r="G468" s="632">
        <f>F468*CCBASE!$B$51</f>
        <v>288</v>
      </c>
      <c r="H468" s="632"/>
      <c r="I468" s="632"/>
      <c r="J468" s="632"/>
      <c r="K468" s="632">
        <f>CCBASE!$I$24*B468/1000</f>
        <v>1138.5431749999998</v>
      </c>
      <c r="L468" s="632"/>
      <c r="M468" s="632"/>
      <c r="N468" s="632"/>
      <c r="O468" s="632"/>
      <c r="P468" s="631"/>
      <c r="Q468" s="631"/>
      <c r="R468" s="631"/>
      <c r="S468" s="631"/>
      <c r="T468" s="631"/>
      <c r="U468" s="632"/>
      <c r="V468" s="631"/>
      <c r="W468" s="631"/>
      <c r="X468" s="631"/>
      <c r="Y468" s="631"/>
      <c r="Z468" s="631"/>
      <c r="AA468" s="631"/>
      <c r="AB468" s="631"/>
      <c r="AC468" s="631"/>
      <c r="AD468" s="631"/>
    </row>
    <row r="469" spans="1:30" x14ac:dyDescent="0.2">
      <c r="A469" s="630" t="s">
        <v>761</v>
      </c>
      <c r="B469" s="630">
        <v>3000</v>
      </c>
      <c r="C469" s="630">
        <v>1750</v>
      </c>
      <c r="D469" s="639" t="str">
        <f t="shared" si="176"/>
        <v>CXW30001750</v>
      </c>
      <c r="E469" s="1046">
        <f t="shared" ref="E469:E532" si="177">SUM(G469:AD469)</f>
        <v>1530.0470999999998</v>
      </c>
      <c r="F469" s="631">
        <v>8</v>
      </c>
      <c r="G469" s="632">
        <f>F469*CCBASE!$B$51</f>
        <v>288</v>
      </c>
      <c r="H469" s="632"/>
      <c r="I469" s="632"/>
      <c r="J469" s="632"/>
      <c r="K469" s="632">
        <f>CCBASE!$I$24*B469/1000</f>
        <v>1242.0470999999998</v>
      </c>
      <c r="L469" s="632"/>
      <c r="M469" s="632"/>
      <c r="N469" s="632"/>
      <c r="O469" s="632"/>
      <c r="P469" s="631"/>
      <c r="Q469" s="631"/>
      <c r="R469" s="631"/>
      <c r="S469" s="631"/>
      <c r="T469" s="631"/>
      <c r="U469" s="632"/>
      <c r="V469" s="631"/>
      <c r="W469" s="631"/>
      <c r="X469" s="631"/>
      <c r="Y469" s="631"/>
      <c r="Z469" s="631"/>
      <c r="AA469" s="631"/>
      <c r="AB469" s="631"/>
      <c r="AC469" s="631"/>
      <c r="AD469" s="631"/>
    </row>
    <row r="470" spans="1:30" x14ac:dyDescent="0.2">
      <c r="A470" s="630" t="s">
        <v>761</v>
      </c>
      <c r="B470" s="630">
        <v>1000</v>
      </c>
      <c r="C470" s="630">
        <v>2000</v>
      </c>
      <c r="D470" s="639" t="str">
        <f t="shared" ref="D470:D514" si="178">$A470&amp;B470&amp;C470</f>
        <v>CXW10002000</v>
      </c>
      <c r="E470" s="1046">
        <f t="shared" si="177"/>
        <v>710.37452499999995</v>
      </c>
      <c r="F470" s="631">
        <v>7</v>
      </c>
      <c r="G470" s="632">
        <f>F470*CCBASE!$B$51</f>
        <v>252</v>
      </c>
      <c r="H470" s="632"/>
      <c r="I470" s="632"/>
      <c r="J470" s="632"/>
      <c r="K470" s="632">
        <f>CCBASE!$I$25*B470/1000</f>
        <v>458.37452499999995</v>
      </c>
      <c r="L470" s="632"/>
      <c r="M470" s="632"/>
      <c r="N470" s="632"/>
      <c r="O470" s="632"/>
      <c r="P470" s="631"/>
      <c r="Q470" s="631"/>
      <c r="R470" s="631"/>
      <c r="S470" s="631"/>
      <c r="T470" s="631"/>
      <c r="U470" s="632"/>
      <c r="V470" s="631"/>
      <c r="W470" s="631"/>
      <c r="X470" s="631"/>
      <c r="Y470" s="631"/>
      <c r="Z470" s="631"/>
      <c r="AA470" s="631"/>
      <c r="AB470" s="631"/>
      <c r="AC470" s="631"/>
      <c r="AD470" s="631"/>
    </row>
    <row r="471" spans="1:30" x14ac:dyDescent="0.2">
      <c r="A471" s="630" t="s">
        <v>761</v>
      </c>
      <c r="B471" s="630">
        <v>1250</v>
      </c>
      <c r="C471" s="630">
        <v>2000</v>
      </c>
      <c r="D471" s="639" t="str">
        <f t="shared" si="178"/>
        <v>CXW12502000</v>
      </c>
      <c r="E471" s="1046">
        <f t="shared" si="177"/>
        <v>824.96815624999988</v>
      </c>
      <c r="F471" s="631">
        <v>7</v>
      </c>
      <c r="G471" s="632">
        <f>F471*CCBASE!$B$51</f>
        <v>252</v>
      </c>
      <c r="H471" s="632"/>
      <c r="I471" s="632"/>
      <c r="J471" s="632"/>
      <c r="K471" s="632">
        <f>CCBASE!$I$25*B471/1000</f>
        <v>572.96815624999988</v>
      </c>
      <c r="L471" s="632"/>
      <c r="M471" s="632"/>
      <c r="N471" s="632"/>
      <c r="O471" s="632"/>
      <c r="P471" s="631"/>
      <c r="Q471" s="631"/>
      <c r="R471" s="631"/>
      <c r="S471" s="631"/>
      <c r="T471" s="631"/>
      <c r="U471" s="632"/>
      <c r="V471" s="631"/>
      <c r="W471" s="631"/>
      <c r="X471" s="631"/>
      <c r="Y471" s="631"/>
      <c r="Z471" s="631"/>
      <c r="AA471" s="631"/>
      <c r="AB471" s="631"/>
      <c r="AC471" s="631"/>
      <c r="AD471" s="631"/>
    </row>
    <row r="472" spans="1:30" x14ac:dyDescent="0.2">
      <c r="A472" s="630" t="s">
        <v>761</v>
      </c>
      <c r="B472" s="630">
        <v>1500</v>
      </c>
      <c r="C472" s="630">
        <v>2000</v>
      </c>
      <c r="D472" s="639" t="str">
        <f t="shared" si="178"/>
        <v>CXW15002000</v>
      </c>
      <c r="E472" s="1046">
        <f t="shared" si="177"/>
        <v>939.56178749999992</v>
      </c>
      <c r="F472" s="631">
        <v>7</v>
      </c>
      <c r="G472" s="632">
        <f>F472*CCBASE!$B$51</f>
        <v>252</v>
      </c>
      <c r="H472" s="632"/>
      <c r="I472" s="632"/>
      <c r="J472" s="632"/>
      <c r="K472" s="632">
        <f>CCBASE!$I$25*B472/1000</f>
        <v>687.56178749999992</v>
      </c>
      <c r="L472" s="632"/>
      <c r="M472" s="632"/>
      <c r="N472" s="632"/>
      <c r="O472" s="632"/>
      <c r="P472" s="631"/>
      <c r="Q472" s="631"/>
      <c r="R472" s="631"/>
      <c r="S472" s="631"/>
      <c r="T472" s="631"/>
      <c r="U472" s="632"/>
      <c r="V472" s="631"/>
      <c r="W472" s="631"/>
      <c r="X472" s="631"/>
      <c r="Y472" s="631"/>
      <c r="Z472" s="631"/>
      <c r="AA472" s="631"/>
      <c r="AB472" s="631"/>
      <c r="AC472" s="631"/>
      <c r="AD472" s="631"/>
    </row>
    <row r="473" spans="1:30" x14ac:dyDescent="0.2">
      <c r="A473" s="630" t="s">
        <v>761</v>
      </c>
      <c r="B473" s="630">
        <v>1750</v>
      </c>
      <c r="C473" s="630">
        <v>2000</v>
      </c>
      <c r="D473" s="639" t="str">
        <f t="shared" si="178"/>
        <v>CXW17502000</v>
      </c>
      <c r="E473" s="1046">
        <f t="shared" si="177"/>
        <v>1090.1554187500001</v>
      </c>
      <c r="F473" s="631">
        <v>8</v>
      </c>
      <c r="G473" s="632">
        <f>F473*CCBASE!$B$51</f>
        <v>288</v>
      </c>
      <c r="H473" s="632"/>
      <c r="I473" s="632"/>
      <c r="J473" s="632"/>
      <c r="K473" s="632">
        <f>CCBASE!$I$25*B473/1000</f>
        <v>802.15541874999997</v>
      </c>
      <c r="L473" s="632"/>
      <c r="M473" s="632"/>
      <c r="N473" s="632"/>
      <c r="O473" s="632"/>
      <c r="P473" s="631"/>
      <c r="Q473" s="631"/>
      <c r="R473" s="631"/>
      <c r="S473" s="631"/>
      <c r="T473" s="631"/>
      <c r="U473" s="632"/>
      <c r="V473" s="631"/>
      <c r="W473" s="631"/>
      <c r="X473" s="631"/>
      <c r="Y473" s="631"/>
      <c r="Z473" s="631"/>
      <c r="AA473" s="631"/>
      <c r="AB473" s="631"/>
      <c r="AC473" s="631"/>
      <c r="AD473" s="631"/>
    </row>
    <row r="474" spans="1:30" x14ac:dyDescent="0.2">
      <c r="A474" s="630" t="s">
        <v>761</v>
      </c>
      <c r="B474" s="630">
        <v>2000</v>
      </c>
      <c r="C474" s="630">
        <v>2000</v>
      </c>
      <c r="D474" s="639" t="str">
        <f t="shared" si="178"/>
        <v>CXW20002000</v>
      </c>
      <c r="E474" s="1046">
        <f t="shared" si="177"/>
        <v>1204.7490499999999</v>
      </c>
      <c r="F474" s="631">
        <v>8</v>
      </c>
      <c r="G474" s="632">
        <f>F474*CCBASE!$B$51</f>
        <v>288</v>
      </c>
      <c r="H474" s="632"/>
      <c r="I474" s="632"/>
      <c r="J474" s="632"/>
      <c r="K474" s="632">
        <f>CCBASE!$I$25*B474/1000</f>
        <v>916.7490499999999</v>
      </c>
      <c r="L474" s="632"/>
      <c r="M474" s="632"/>
      <c r="N474" s="632"/>
      <c r="O474" s="632"/>
      <c r="P474" s="631"/>
      <c r="Q474" s="631"/>
      <c r="R474" s="631"/>
      <c r="S474" s="631"/>
      <c r="T474" s="631"/>
      <c r="U474" s="632"/>
      <c r="V474" s="631"/>
      <c r="W474" s="631"/>
      <c r="X474" s="631"/>
      <c r="Y474" s="631"/>
      <c r="Z474" s="631"/>
      <c r="AA474" s="631"/>
      <c r="AB474" s="631"/>
      <c r="AC474" s="631"/>
      <c r="AD474" s="631"/>
    </row>
    <row r="475" spans="1:30" x14ac:dyDescent="0.2">
      <c r="A475" s="630" t="s">
        <v>761</v>
      </c>
      <c r="B475" s="630">
        <v>2250</v>
      </c>
      <c r="C475" s="630">
        <v>2000</v>
      </c>
      <c r="D475" s="639" t="str">
        <f t="shared" si="178"/>
        <v>CXW22502000</v>
      </c>
      <c r="E475" s="1046">
        <f t="shared" si="177"/>
        <v>1319.3426812499999</v>
      </c>
      <c r="F475" s="631">
        <v>8</v>
      </c>
      <c r="G475" s="632">
        <f>F475*CCBASE!$B$51</f>
        <v>288</v>
      </c>
      <c r="H475" s="632"/>
      <c r="I475" s="632"/>
      <c r="J475" s="632"/>
      <c r="K475" s="632">
        <f>CCBASE!$I$25*B475/1000</f>
        <v>1031.3426812499999</v>
      </c>
      <c r="L475" s="632"/>
      <c r="M475" s="632"/>
      <c r="N475" s="632"/>
      <c r="O475" s="632"/>
      <c r="P475" s="631"/>
      <c r="Q475" s="631"/>
      <c r="R475" s="631"/>
      <c r="S475" s="631"/>
      <c r="T475" s="631"/>
      <c r="U475" s="632"/>
      <c r="V475" s="631"/>
      <c r="W475" s="631"/>
      <c r="X475" s="631"/>
      <c r="Y475" s="631"/>
      <c r="Z475" s="631"/>
      <c r="AA475" s="631"/>
      <c r="AB475" s="631"/>
      <c r="AC475" s="631"/>
      <c r="AD475" s="631"/>
    </row>
    <row r="476" spans="1:30" x14ac:dyDescent="0.2">
      <c r="A476" s="630" t="s">
        <v>761</v>
      </c>
      <c r="B476" s="630">
        <v>2500</v>
      </c>
      <c r="C476" s="630">
        <v>2000</v>
      </c>
      <c r="D476" s="639" t="str">
        <f t="shared" si="178"/>
        <v>CXW25002000</v>
      </c>
      <c r="E476" s="1046">
        <f t="shared" si="177"/>
        <v>1433.9363124999998</v>
      </c>
      <c r="F476" s="631">
        <v>8</v>
      </c>
      <c r="G476" s="632">
        <f>F476*CCBASE!$B$51</f>
        <v>288</v>
      </c>
      <c r="H476" s="632"/>
      <c r="I476" s="632"/>
      <c r="J476" s="632"/>
      <c r="K476" s="632">
        <f>CCBASE!$I$25*B476/1000</f>
        <v>1145.9363124999998</v>
      </c>
      <c r="L476" s="632"/>
      <c r="M476" s="632"/>
      <c r="N476" s="632"/>
      <c r="O476" s="632"/>
      <c r="P476" s="631"/>
      <c r="Q476" s="631"/>
      <c r="R476" s="631"/>
      <c r="S476" s="631"/>
      <c r="T476" s="631"/>
      <c r="U476" s="632"/>
      <c r="V476" s="631"/>
      <c r="W476" s="631"/>
      <c r="X476" s="631"/>
      <c r="Y476" s="631"/>
      <c r="Z476" s="631"/>
      <c r="AA476" s="631"/>
      <c r="AB476" s="631"/>
      <c r="AC476" s="631"/>
      <c r="AD476" s="631"/>
    </row>
    <row r="477" spans="1:30" x14ac:dyDescent="0.2">
      <c r="A477" s="630" t="s">
        <v>761</v>
      </c>
      <c r="B477" s="630">
        <v>2750</v>
      </c>
      <c r="C477" s="630">
        <v>2000</v>
      </c>
      <c r="D477" s="639" t="str">
        <f t="shared" si="178"/>
        <v>CXW27502000</v>
      </c>
      <c r="E477" s="1046">
        <f t="shared" si="177"/>
        <v>1548.5299437499998</v>
      </c>
      <c r="F477" s="631">
        <v>8</v>
      </c>
      <c r="G477" s="632">
        <f>F477*CCBASE!$B$51</f>
        <v>288</v>
      </c>
      <c r="H477" s="632"/>
      <c r="I477" s="632"/>
      <c r="J477" s="632"/>
      <c r="K477" s="632">
        <f>CCBASE!$I$25*B477/1000</f>
        <v>1260.5299437499998</v>
      </c>
      <c r="L477" s="632"/>
      <c r="M477" s="632"/>
      <c r="N477" s="632"/>
      <c r="O477" s="632"/>
      <c r="P477" s="631"/>
      <c r="Q477" s="631"/>
      <c r="R477" s="631"/>
      <c r="S477" s="631"/>
      <c r="T477" s="631"/>
      <c r="U477" s="632"/>
      <c r="V477" s="631"/>
      <c r="W477" s="631"/>
      <c r="X477" s="631"/>
      <c r="Y477" s="631"/>
      <c r="Z477" s="631"/>
      <c r="AA477" s="631"/>
      <c r="AB477" s="631"/>
      <c r="AC477" s="631"/>
      <c r="AD477" s="631"/>
    </row>
    <row r="478" spans="1:30" x14ac:dyDescent="0.2">
      <c r="A478" s="630" t="s">
        <v>761</v>
      </c>
      <c r="B478" s="630">
        <v>3000</v>
      </c>
      <c r="C478" s="630">
        <v>2000</v>
      </c>
      <c r="D478" s="639" t="str">
        <f t="shared" si="178"/>
        <v>CXW30002000</v>
      </c>
      <c r="E478" s="1046">
        <f t="shared" si="177"/>
        <v>1663.1235749999998</v>
      </c>
      <c r="F478" s="631">
        <v>8</v>
      </c>
      <c r="G478" s="632">
        <f>F478*CCBASE!$B$51</f>
        <v>288</v>
      </c>
      <c r="H478" s="632"/>
      <c r="I478" s="632"/>
      <c r="J478" s="632"/>
      <c r="K478" s="632">
        <f>CCBASE!$I$25*B478/1000</f>
        <v>1375.1235749999998</v>
      </c>
      <c r="L478" s="632"/>
      <c r="M478" s="632"/>
      <c r="N478" s="632"/>
      <c r="O478" s="632"/>
      <c r="P478" s="631"/>
      <c r="Q478" s="631"/>
      <c r="R478" s="631"/>
      <c r="S478" s="631"/>
      <c r="T478" s="631"/>
      <c r="U478" s="632"/>
      <c r="V478" s="631"/>
      <c r="W478" s="631"/>
      <c r="X478" s="631"/>
      <c r="Y478" s="631"/>
      <c r="Z478" s="631"/>
      <c r="AA478" s="631"/>
      <c r="AB478" s="631"/>
      <c r="AC478" s="631"/>
      <c r="AD478" s="631"/>
    </row>
    <row r="479" spans="1:30" x14ac:dyDescent="0.2">
      <c r="A479" s="630" t="s">
        <v>764</v>
      </c>
      <c r="B479" s="630">
        <v>1000</v>
      </c>
      <c r="C479" s="630">
        <v>1000</v>
      </c>
      <c r="D479" s="639" t="str">
        <f t="shared" si="178"/>
        <v>CXW-M10001000</v>
      </c>
      <c r="E479" s="1046">
        <f t="shared" si="177"/>
        <v>797.41089600000009</v>
      </c>
      <c r="F479" s="631">
        <v>15</v>
      </c>
      <c r="G479" s="632">
        <f>F479*CCBASE!$B$51</f>
        <v>540</v>
      </c>
      <c r="H479" s="632"/>
      <c r="I479" s="632"/>
      <c r="J479" s="632"/>
      <c r="K479" s="632">
        <f>CCBASE!$I$21*B479/1000</f>
        <v>218.83687000000003</v>
      </c>
      <c r="L479" s="632"/>
      <c r="M479" s="632"/>
      <c r="N479" s="632">
        <f>(CCBASE!$I$7*B272/1000*C272/1000)*0.45</f>
        <v>14.194026000000001</v>
      </c>
      <c r="O479" s="632">
        <f>CCBASE!$I$45*B479/1000</f>
        <v>9.9700000000000006</v>
      </c>
      <c r="P479" s="631"/>
      <c r="Q479" s="631"/>
      <c r="R479" s="631"/>
      <c r="S479" s="631"/>
      <c r="T479" s="631"/>
      <c r="U479" s="637">
        <f>CCBASE!$I$47</f>
        <v>14.41</v>
      </c>
      <c r="V479" s="631"/>
      <c r="W479" s="631"/>
      <c r="X479" s="631"/>
      <c r="Y479" s="631"/>
      <c r="Z479" s="631"/>
      <c r="AA479" s="631"/>
      <c r="AB479" s="631"/>
      <c r="AC479" s="631"/>
      <c r="AD479" s="631"/>
    </row>
    <row r="480" spans="1:30" x14ac:dyDescent="0.2">
      <c r="A480" s="630" t="s">
        <v>764</v>
      </c>
      <c r="B480" s="630">
        <v>1250</v>
      </c>
      <c r="C480" s="630">
        <v>1000</v>
      </c>
      <c r="D480" s="639" t="str">
        <f t="shared" si="178"/>
        <v>CXW-M12501000</v>
      </c>
      <c r="E480" s="1046">
        <f t="shared" si="177"/>
        <v>858.16111999999998</v>
      </c>
      <c r="F480" s="631">
        <v>15</v>
      </c>
      <c r="G480" s="632">
        <f>F480*CCBASE!$B$51</f>
        <v>540</v>
      </c>
      <c r="H480" s="632"/>
      <c r="I480" s="632"/>
      <c r="J480" s="632"/>
      <c r="K480" s="632">
        <f>CCBASE!$I$21*B480/1000</f>
        <v>273.5460875</v>
      </c>
      <c r="L480" s="632"/>
      <c r="M480" s="632"/>
      <c r="N480" s="632">
        <f>(CCBASE!$I$7*B273/1000*C273/1000)*0.45</f>
        <v>17.742532499999999</v>
      </c>
      <c r="O480" s="632">
        <f>CCBASE!$I$45*B480/1000</f>
        <v>12.4625</v>
      </c>
      <c r="P480" s="631"/>
      <c r="Q480" s="631"/>
      <c r="R480" s="631"/>
      <c r="S480" s="631"/>
      <c r="T480" s="631"/>
      <c r="U480" s="637">
        <f>CCBASE!$I$47</f>
        <v>14.41</v>
      </c>
      <c r="V480" s="631"/>
      <c r="W480" s="631"/>
      <c r="X480" s="631"/>
      <c r="Y480" s="631"/>
      <c r="Z480" s="631"/>
      <c r="AA480" s="631"/>
      <c r="AB480" s="631"/>
      <c r="AC480" s="631"/>
      <c r="AD480" s="631"/>
    </row>
    <row r="481" spans="1:30" x14ac:dyDescent="0.2">
      <c r="A481" s="630" t="s">
        <v>764</v>
      </c>
      <c r="B481" s="630">
        <v>1500</v>
      </c>
      <c r="C481" s="630">
        <v>1000</v>
      </c>
      <c r="D481" s="639" t="str">
        <f t="shared" si="178"/>
        <v>CXW-M15001000</v>
      </c>
      <c r="E481" s="1046">
        <f t="shared" si="177"/>
        <v>918.9113440000001</v>
      </c>
      <c r="F481" s="631">
        <v>15</v>
      </c>
      <c r="G481" s="632">
        <f>F481*CCBASE!$B$51</f>
        <v>540</v>
      </c>
      <c r="H481" s="632"/>
      <c r="I481" s="632"/>
      <c r="J481" s="632"/>
      <c r="K481" s="632">
        <f>CCBASE!$I$21*B481/1000</f>
        <v>328.25530500000008</v>
      </c>
      <c r="L481" s="632"/>
      <c r="M481" s="632"/>
      <c r="N481" s="632">
        <f>(CCBASE!$I$7*B274/1000*C274/1000)*0.45</f>
        <v>21.291039000000005</v>
      </c>
      <c r="O481" s="632">
        <f>CCBASE!$I$45*B481/1000</f>
        <v>14.955000000000002</v>
      </c>
      <c r="P481" s="631"/>
      <c r="Q481" s="631"/>
      <c r="R481" s="631"/>
      <c r="S481" s="631"/>
      <c r="T481" s="631"/>
      <c r="U481" s="637">
        <f>CCBASE!$I$47</f>
        <v>14.41</v>
      </c>
      <c r="V481" s="631"/>
      <c r="W481" s="631"/>
      <c r="X481" s="631"/>
      <c r="Y481" s="631"/>
      <c r="Z481" s="631"/>
      <c r="AA481" s="631"/>
      <c r="AB481" s="631"/>
      <c r="AC481" s="631"/>
      <c r="AD481" s="631"/>
    </row>
    <row r="482" spans="1:30" x14ac:dyDescent="0.2">
      <c r="A482" s="630" t="s">
        <v>764</v>
      </c>
      <c r="B482" s="630">
        <v>1750</v>
      </c>
      <c r="C482" s="630">
        <v>1000</v>
      </c>
      <c r="D482" s="639" t="str">
        <f t="shared" si="178"/>
        <v>CXW-M17501000</v>
      </c>
      <c r="E482" s="1046">
        <f t="shared" si="177"/>
        <v>1015.6615680000001</v>
      </c>
      <c r="F482" s="631">
        <v>16</v>
      </c>
      <c r="G482" s="632">
        <f>F482*CCBASE!$B$51</f>
        <v>576</v>
      </c>
      <c r="H482" s="632"/>
      <c r="I482" s="632"/>
      <c r="J482" s="632"/>
      <c r="K482" s="632">
        <f>CCBASE!$I$21*B482/1000</f>
        <v>382.9645225000001</v>
      </c>
      <c r="L482" s="632"/>
      <c r="M482" s="632"/>
      <c r="N482" s="632">
        <f>(CCBASE!$I$7*B275/1000*C275/1000)*0.45</f>
        <v>24.8395455</v>
      </c>
      <c r="O482" s="632">
        <f>CCBASE!$I$45*B482/1000</f>
        <v>17.447500000000002</v>
      </c>
      <c r="P482" s="631"/>
      <c r="Q482" s="631"/>
      <c r="R482" s="631"/>
      <c r="S482" s="631"/>
      <c r="T482" s="631"/>
      <c r="U482" s="637">
        <f>CCBASE!$I$47</f>
        <v>14.41</v>
      </c>
      <c r="V482" s="631"/>
      <c r="W482" s="631"/>
      <c r="X482" s="631"/>
      <c r="Y482" s="631"/>
      <c r="Z482" s="631"/>
      <c r="AA482" s="631"/>
      <c r="AB482" s="631"/>
      <c r="AC482" s="631"/>
      <c r="AD482" s="631"/>
    </row>
    <row r="483" spans="1:30" x14ac:dyDescent="0.2">
      <c r="A483" s="630" t="s">
        <v>764</v>
      </c>
      <c r="B483" s="630">
        <v>2000</v>
      </c>
      <c r="C483" s="630">
        <v>1000</v>
      </c>
      <c r="D483" s="639" t="str">
        <f t="shared" si="178"/>
        <v>CXW-M20001000</v>
      </c>
      <c r="E483" s="1046">
        <f t="shared" si="177"/>
        <v>1076.4117920000001</v>
      </c>
      <c r="F483" s="631">
        <v>16</v>
      </c>
      <c r="G483" s="632">
        <f>F483*CCBASE!$B$51</f>
        <v>576</v>
      </c>
      <c r="H483" s="632"/>
      <c r="I483" s="632"/>
      <c r="J483" s="632"/>
      <c r="K483" s="632">
        <f>CCBASE!$I$21*B483/1000</f>
        <v>437.67374000000007</v>
      </c>
      <c r="L483" s="632"/>
      <c r="M483" s="632"/>
      <c r="N483" s="632">
        <f>(CCBASE!$I$7*B276/1000*C276/1000)*0.45</f>
        <v>28.388052000000002</v>
      </c>
      <c r="O483" s="632">
        <f>CCBASE!$I$45*B483/1000</f>
        <v>19.940000000000001</v>
      </c>
      <c r="P483" s="631"/>
      <c r="Q483" s="631"/>
      <c r="R483" s="631"/>
      <c r="S483" s="631"/>
      <c r="T483" s="631"/>
      <c r="U483" s="637">
        <f>CCBASE!$I$47</f>
        <v>14.41</v>
      </c>
      <c r="V483" s="631"/>
      <c r="W483" s="631"/>
      <c r="X483" s="631"/>
      <c r="Y483" s="631"/>
      <c r="Z483" s="631"/>
      <c r="AA483" s="631"/>
      <c r="AB483" s="631"/>
      <c r="AC483" s="631"/>
      <c r="AD483" s="631"/>
    </row>
    <row r="484" spans="1:30" x14ac:dyDescent="0.2">
      <c r="A484" s="630" t="s">
        <v>764</v>
      </c>
      <c r="B484" s="630">
        <v>2250</v>
      </c>
      <c r="C484" s="630">
        <v>1000</v>
      </c>
      <c r="D484" s="639" t="str">
        <f t="shared" si="178"/>
        <v>CXW-M22501000</v>
      </c>
      <c r="E484" s="1046">
        <f t="shared" si="177"/>
        <v>1151.5720159999998</v>
      </c>
      <c r="F484" s="631">
        <v>16</v>
      </c>
      <c r="G484" s="632">
        <f>F484*CCBASE!$B$51</f>
        <v>576</v>
      </c>
      <c r="H484" s="632"/>
      <c r="I484" s="632"/>
      <c r="J484" s="632"/>
      <c r="K484" s="632">
        <f>CCBASE!$I$21*B484/1000</f>
        <v>492.38295750000009</v>
      </c>
      <c r="L484" s="632"/>
      <c r="M484" s="632"/>
      <c r="N484" s="632">
        <f>(CCBASE!$I$7*B277/1000*C277/1000)*0.45</f>
        <v>31.936558500000007</v>
      </c>
      <c r="O484" s="632">
        <f>CCBASE!$I$45*B484/1000</f>
        <v>22.432500000000001</v>
      </c>
      <c r="P484" s="631"/>
      <c r="Q484" s="631"/>
      <c r="R484" s="631"/>
      <c r="S484" s="631"/>
      <c r="T484" s="631"/>
      <c r="U484" s="637">
        <f>CCBASE!$I$47*2</f>
        <v>28.82</v>
      </c>
      <c r="V484" s="631"/>
      <c r="W484" s="631"/>
      <c r="X484" s="631"/>
      <c r="Y484" s="631"/>
      <c r="Z484" s="631"/>
      <c r="AA484" s="631"/>
      <c r="AB484" s="631"/>
      <c r="AC484" s="631"/>
      <c r="AD484" s="631"/>
    </row>
    <row r="485" spans="1:30" x14ac:dyDescent="0.2">
      <c r="A485" s="630" t="s">
        <v>764</v>
      </c>
      <c r="B485" s="630">
        <v>2500</v>
      </c>
      <c r="C485" s="630">
        <v>1000</v>
      </c>
      <c r="D485" s="639" t="str">
        <f t="shared" si="178"/>
        <v>CXW-M25001000</v>
      </c>
      <c r="E485" s="1046">
        <f t="shared" si="177"/>
        <v>1212.32224</v>
      </c>
      <c r="F485" s="631">
        <v>16</v>
      </c>
      <c r="G485" s="632">
        <f>F485*CCBASE!$B$51</f>
        <v>576</v>
      </c>
      <c r="H485" s="632"/>
      <c r="I485" s="632"/>
      <c r="J485" s="632"/>
      <c r="K485" s="632">
        <f>CCBASE!$I$21*B485/1000</f>
        <v>547.092175</v>
      </c>
      <c r="L485" s="632"/>
      <c r="M485" s="632"/>
      <c r="N485" s="632">
        <f>(CCBASE!$I$7*B278/1000*C278/1000)*0.45</f>
        <v>35.485064999999999</v>
      </c>
      <c r="O485" s="632">
        <f>CCBASE!$I$45*B485/1000</f>
        <v>24.925000000000001</v>
      </c>
      <c r="P485" s="631"/>
      <c r="Q485" s="631"/>
      <c r="R485" s="631"/>
      <c r="S485" s="631"/>
      <c r="T485" s="631"/>
      <c r="U485" s="637">
        <f>CCBASE!$I$47*2</f>
        <v>28.82</v>
      </c>
      <c r="V485" s="631"/>
      <c r="W485" s="631"/>
      <c r="X485" s="631"/>
      <c r="Y485" s="631"/>
      <c r="Z485" s="631"/>
      <c r="AA485" s="631"/>
      <c r="AB485" s="631"/>
      <c r="AC485" s="631"/>
      <c r="AD485" s="631"/>
    </row>
    <row r="486" spans="1:30" x14ac:dyDescent="0.2">
      <c r="A486" s="630" t="s">
        <v>764</v>
      </c>
      <c r="B486" s="630">
        <v>2750</v>
      </c>
      <c r="C486" s="630">
        <v>1000</v>
      </c>
      <c r="D486" s="639" t="str">
        <f t="shared" si="178"/>
        <v>CXW-M27501000</v>
      </c>
      <c r="E486" s="1046">
        <f t="shared" si="177"/>
        <v>1273.0724640000001</v>
      </c>
      <c r="F486" s="631">
        <v>16</v>
      </c>
      <c r="G486" s="632">
        <f>F486*CCBASE!$B$51</f>
        <v>576</v>
      </c>
      <c r="H486" s="632"/>
      <c r="I486" s="632"/>
      <c r="J486" s="632"/>
      <c r="K486" s="632">
        <f>CCBASE!$I$21*B486/1000</f>
        <v>601.80139250000002</v>
      </c>
      <c r="L486" s="632"/>
      <c r="M486" s="632"/>
      <c r="N486" s="632">
        <f>(CCBASE!$I$7*B279/1000*C279/1000)*0.45</f>
        <v>39.033571500000001</v>
      </c>
      <c r="O486" s="632">
        <f>CCBASE!$I$45*B486/1000</f>
        <v>27.4175</v>
      </c>
      <c r="P486" s="631"/>
      <c r="Q486" s="631"/>
      <c r="R486" s="631"/>
      <c r="S486" s="631"/>
      <c r="T486" s="631"/>
      <c r="U486" s="637">
        <f>CCBASE!$I$47*2</f>
        <v>28.82</v>
      </c>
      <c r="V486" s="631"/>
      <c r="W486" s="631"/>
      <c r="X486" s="631"/>
      <c r="Y486" s="631"/>
      <c r="Z486" s="631"/>
      <c r="AA486" s="631"/>
      <c r="AB486" s="631"/>
      <c r="AC486" s="631"/>
      <c r="AD486" s="631"/>
    </row>
    <row r="487" spans="1:30" x14ac:dyDescent="0.2">
      <c r="A487" s="630" t="s">
        <v>764</v>
      </c>
      <c r="B487" s="630">
        <v>3000</v>
      </c>
      <c r="C487" s="630">
        <v>1000</v>
      </c>
      <c r="D487" s="639" t="str">
        <f t="shared" si="178"/>
        <v>CXW-M30001000</v>
      </c>
      <c r="E487" s="1046">
        <f t="shared" si="177"/>
        <v>1333.8226880000002</v>
      </c>
      <c r="F487" s="631">
        <v>16</v>
      </c>
      <c r="G487" s="632">
        <f>F487*CCBASE!$B$51</f>
        <v>576</v>
      </c>
      <c r="H487" s="632"/>
      <c r="I487" s="632"/>
      <c r="J487" s="632"/>
      <c r="K487" s="632">
        <f>CCBASE!$I$21*B487/1000</f>
        <v>656.51061000000016</v>
      </c>
      <c r="L487" s="632"/>
      <c r="M487" s="632"/>
      <c r="N487" s="632">
        <f>(CCBASE!$I$7*B280/1000*C280/1000)*0.45</f>
        <v>42.58207800000001</v>
      </c>
      <c r="O487" s="632">
        <f>CCBASE!$I$45*B487/1000</f>
        <v>29.910000000000004</v>
      </c>
      <c r="P487" s="631"/>
      <c r="Q487" s="631"/>
      <c r="R487" s="631"/>
      <c r="S487" s="631"/>
      <c r="T487" s="631"/>
      <c r="U487" s="637">
        <f>CCBASE!$I$47*2</f>
        <v>28.82</v>
      </c>
      <c r="V487" s="631"/>
      <c r="W487" s="631"/>
      <c r="X487" s="631"/>
      <c r="Y487" s="631"/>
      <c r="Z487" s="631"/>
      <c r="AA487" s="631"/>
      <c r="AB487" s="631"/>
      <c r="AC487" s="631"/>
      <c r="AD487" s="631"/>
    </row>
    <row r="488" spans="1:30" x14ac:dyDescent="0.2">
      <c r="A488" s="630" t="s">
        <v>764</v>
      </c>
      <c r="B488" s="630">
        <v>1000</v>
      </c>
      <c r="C488" s="630">
        <v>1250</v>
      </c>
      <c r="D488" s="639" t="str">
        <f t="shared" si="178"/>
        <v>CXW-M10001250</v>
      </c>
      <c r="E488" s="1046">
        <f t="shared" si="177"/>
        <v>830.53195249999999</v>
      </c>
      <c r="F488" s="631">
        <v>15</v>
      </c>
      <c r="G488" s="632">
        <f>F488*CCBASE!$B$51</f>
        <v>540</v>
      </c>
      <c r="H488" s="632"/>
      <c r="I488" s="632"/>
      <c r="J488" s="632"/>
      <c r="K488" s="632">
        <f>CCBASE!$I$22*B488/1000</f>
        <v>248.40942000000001</v>
      </c>
      <c r="L488" s="632"/>
      <c r="M488" s="632"/>
      <c r="N488" s="632">
        <f>(CCBASE!$I$7*B281/1000*C281/1000)*0.45</f>
        <v>17.742532499999999</v>
      </c>
      <c r="O488" s="632">
        <f>CCBASE!$I$45*B488/1000</f>
        <v>9.9700000000000006</v>
      </c>
      <c r="P488" s="631"/>
      <c r="Q488" s="631"/>
      <c r="R488" s="631"/>
      <c r="S488" s="631"/>
      <c r="T488" s="631"/>
      <c r="U488" s="637">
        <f>CCBASE!$I$47</f>
        <v>14.41</v>
      </c>
      <c r="V488" s="631"/>
      <c r="W488" s="631"/>
      <c r="X488" s="631"/>
      <c r="Y488" s="631"/>
      <c r="Z488" s="631"/>
      <c r="AA488" s="631"/>
      <c r="AB488" s="631"/>
      <c r="AC488" s="631"/>
      <c r="AD488" s="631"/>
    </row>
    <row r="489" spans="1:30" x14ac:dyDescent="0.2">
      <c r="A489" s="630" t="s">
        <v>764</v>
      </c>
      <c r="B489" s="630">
        <v>1250</v>
      </c>
      <c r="C489" s="630">
        <v>1250</v>
      </c>
      <c r="D489" s="639" t="str">
        <f t="shared" si="178"/>
        <v>CXW-M12501250</v>
      </c>
      <c r="E489" s="1046">
        <f t="shared" si="177"/>
        <v>899.56244062499991</v>
      </c>
      <c r="F489" s="631">
        <v>15</v>
      </c>
      <c r="G489" s="632">
        <f>F489*CCBASE!$B$51</f>
        <v>540</v>
      </c>
      <c r="H489" s="632"/>
      <c r="I489" s="632"/>
      <c r="J489" s="632"/>
      <c r="K489" s="632">
        <f>CCBASE!$I$22*B489/1000</f>
        <v>310.511775</v>
      </c>
      <c r="L489" s="632"/>
      <c r="M489" s="632"/>
      <c r="N489" s="632">
        <f>(CCBASE!$I$7*B282/1000*C282/1000)*0.45</f>
        <v>22.178165625000002</v>
      </c>
      <c r="O489" s="632">
        <f>CCBASE!$I$45*B489/1000</f>
        <v>12.4625</v>
      </c>
      <c r="P489" s="631"/>
      <c r="Q489" s="631"/>
      <c r="R489" s="631"/>
      <c r="S489" s="631"/>
      <c r="T489" s="631"/>
      <c r="U489" s="637">
        <f>CCBASE!$I$47</f>
        <v>14.41</v>
      </c>
      <c r="V489" s="631"/>
      <c r="W489" s="631"/>
      <c r="X489" s="631"/>
      <c r="Y489" s="631"/>
      <c r="Z489" s="631"/>
      <c r="AA489" s="631"/>
      <c r="AB489" s="631"/>
      <c r="AC489" s="631"/>
      <c r="AD489" s="631"/>
    </row>
    <row r="490" spans="1:30" x14ac:dyDescent="0.2">
      <c r="A490" s="630" t="s">
        <v>764</v>
      </c>
      <c r="B490" s="630">
        <v>1500</v>
      </c>
      <c r="C490" s="630">
        <v>1250</v>
      </c>
      <c r="D490" s="639" t="str">
        <f t="shared" si="178"/>
        <v>CXW-M15001250</v>
      </c>
      <c r="E490" s="1046">
        <f t="shared" si="177"/>
        <v>968.59292874999994</v>
      </c>
      <c r="F490" s="631">
        <v>15</v>
      </c>
      <c r="G490" s="632">
        <f>F490*CCBASE!$B$51</f>
        <v>540</v>
      </c>
      <c r="H490" s="632"/>
      <c r="I490" s="632"/>
      <c r="J490" s="632"/>
      <c r="K490" s="632">
        <f>CCBASE!$I$22*B490/1000</f>
        <v>372.61412999999999</v>
      </c>
      <c r="L490" s="632"/>
      <c r="M490" s="632"/>
      <c r="N490" s="632">
        <f>(CCBASE!$I$7*B283/1000*C283/1000)*0.45</f>
        <v>26.613798750000004</v>
      </c>
      <c r="O490" s="632">
        <f>CCBASE!$I$45*B490/1000</f>
        <v>14.955000000000002</v>
      </c>
      <c r="P490" s="631"/>
      <c r="Q490" s="631"/>
      <c r="R490" s="631"/>
      <c r="S490" s="631"/>
      <c r="T490" s="631"/>
      <c r="U490" s="637">
        <f>CCBASE!$I$47</f>
        <v>14.41</v>
      </c>
      <c r="V490" s="631"/>
      <c r="W490" s="631"/>
      <c r="X490" s="631"/>
      <c r="Y490" s="631"/>
      <c r="Z490" s="631"/>
      <c r="AA490" s="631"/>
      <c r="AB490" s="631"/>
      <c r="AC490" s="631"/>
      <c r="AD490" s="631"/>
    </row>
    <row r="491" spans="1:30" x14ac:dyDescent="0.2">
      <c r="A491" s="630" t="s">
        <v>764</v>
      </c>
      <c r="B491" s="630">
        <v>1750</v>
      </c>
      <c r="C491" s="630">
        <v>1250</v>
      </c>
      <c r="D491" s="639" t="str">
        <f t="shared" si="178"/>
        <v>CXW-M17501250</v>
      </c>
      <c r="E491" s="1046">
        <f t="shared" si="177"/>
        <v>1073.6234168750002</v>
      </c>
      <c r="F491" s="631">
        <v>16</v>
      </c>
      <c r="G491" s="632">
        <f>F491*CCBASE!$B$51</f>
        <v>576</v>
      </c>
      <c r="H491" s="632"/>
      <c r="I491" s="632"/>
      <c r="J491" s="632"/>
      <c r="K491" s="632">
        <f>CCBASE!$I$22*B491/1000</f>
        <v>434.71648500000003</v>
      </c>
      <c r="L491" s="632"/>
      <c r="M491" s="632"/>
      <c r="N491" s="632">
        <f>(CCBASE!$I$7*B284/1000*C284/1000)*0.45</f>
        <v>31.049431875000003</v>
      </c>
      <c r="O491" s="632">
        <f>CCBASE!$I$45*B491/1000</f>
        <v>17.447500000000002</v>
      </c>
      <c r="P491" s="631"/>
      <c r="Q491" s="631"/>
      <c r="R491" s="631"/>
      <c r="S491" s="631"/>
      <c r="T491" s="631"/>
      <c r="U491" s="637">
        <f>CCBASE!$I$47</f>
        <v>14.41</v>
      </c>
      <c r="V491" s="631"/>
      <c r="W491" s="631"/>
      <c r="X491" s="631"/>
      <c r="Y491" s="631"/>
      <c r="Z491" s="631"/>
      <c r="AA491" s="631"/>
      <c r="AB491" s="631"/>
      <c r="AC491" s="631"/>
      <c r="AD491" s="631"/>
    </row>
    <row r="492" spans="1:30" x14ac:dyDescent="0.2">
      <c r="A492" s="630" t="s">
        <v>764</v>
      </c>
      <c r="B492" s="630">
        <v>2000</v>
      </c>
      <c r="C492" s="630">
        <v>1250</v>
      </c>
      <c r="D492" s="639" t="str">
        <f t="shared" si="178"/>
        <v>CXW-M20001250</v>
      </c>
      <c r="E492" s="1046">
        <f t="shared" si="177"/>
        <v>1142.6539050000001</v>
      </c>
      <c r="F492" s="631">
        <v>16</v>
      </c>
      <c r="G492" s="632">
        <f>F492*CCBASE!$B$51</f>
        <v>576</v>
      </c>
      <c r="H492" s="632"/>
      <c r="I492" s="632"/>
      <c r="J492" s="632"/>
      <c r="K492" s="632">
        <f>CCBASE!$I$22*B492/1000</f>
        <v>496.81884000000002</v>
      </c>
      <c r="L492" s="632"/>
      <c r="M492" s="632"/>
      <c r="N492" s="632">
        <f>(CCBASE!$I$7*B285/1000*C285/1000)*0.45</f>
        <v>35.485064999999999</v>
      </c>
      <c r="O492" s="632">
        <f>CCBASE!$I$45*B492/1000</f>
        <v>19.940000000000001</v>
      </c>
      <c r="P492" s="631"/>
      <c r="Q492" s="631"/>
      <c r="R492" s="631"/>
      <c r="S492" s="631"/>
      <c r="T492" s="631"/>
      <c r="U492" s="637">
        <f>CCBASE!$I$47</f>
        <v>14.41</v>
      </c>
      <c r="V492" s="631"/>
      <c r="W492" s="631"/>
      <c r="X492" s="631"/>
      <c r="Y492" s="631"/>
      <c r="Z492" s="631"/>
      <c r="AA492" s="631"/>
      <c r="AB492" s="631"/>
      <c r="AC492" s="631"/>
      <c r="AD492" s="631"/>
    </row>
    <row r="493" spans="1:30" x14ac:dyDescent="0.2">
      <c r="A493" s="630" t="s">
        <v>764</v>
      </c>
      <c r="B493" s="630">
        <v>2250</v>
      </c>
      <c r="C493" s="630">
        <v>1250</v>
      </c>
      <c r="D493" s="639" t="str">
        <f t="shared" si="178"/>
        <v>CXW-M22501250</v>
      </c>
      <c r="E493" s="1046">
        <f t="shared" si="177"/>
        <v>1226.0943931249997</v>
      </c>
      <c r="F493" s="631">
        <v>16</v>
      </c>
      <c r="G493" s="632">
        <f>F493*CCBASE!$B$51</f>
        <v>576</v>
      </c>
      <c r="H493" s="632"/>
      <c r="I493" s="632"/>
      <c r="J493" s="632"/>
      <c r="K493" s="632">
        <f>CCBASE!$I$22*B493/1000</f>
        <v>558.92119500000001</v>
      </c>
      <c r="L493" s="632"/>
      <c r="M493" s="632"/>
      <c r="N493" s="632">
        <f>(CCBASE!$I$7*B286/1000*C286/1000)*0.45</f>
        <v>39.920698125000008</v>
      </c>
      <c r="O493" s="632">
        <f>CCBASE!$I$45*B493/1000</f>
        <v>22.432500000000001</v>
      </c>
      <c r="P493" s="631"/>
      <c r="Q493" s="631"/>
      <c r="R493" s="631"/>
      <c r="S493" s="631"/>
      <c r="T493" s="631"/>
      <c r="U493" s="637">
        <f>CCBASE!$I$47*2</f>
        <v>28.82</v>
      </c>
      <c r="V493" s="631"/>
      <c r="W493" s="631"/>
      <c r="X493" s="631"/>
      <c r="Y493" s="631"/>
      <c r="Z493" s="631"/>
      <c r="AA493" s="631"/>
      <c r="AB493" s="631"/>
      <c r="AC493" s="631"/>
      <c r="AD493" s="631"/>
    </row>
    <row r="494" spans="1:30" x14ac:dyDescent="0.2">
      <c r="A494" s="630" t="s">
        <v>764</v>
      </c>
      <c r="B494" s="630">
        <v>2500</v>
      </c>
      <c r="C494" s="630">
        <v>1250</v>
      </c>
      <c r="D494" s="639" t="str">
        <f t="shared" si="178"/>
        <v>CXW-M25001250</v>
      </c>
      <c r="E494" s="1046">
        <f t="shared" si="177"/>
        <v>1295.1248812499998</v>
      </c>
      <c r="F494" s="631">
        <v>16</v>
      </c>
      <c r="G494" s="632">
        <f>F494*CCBASE!$B$51</f>
        <v>576</v>
      </c>
      <c r="H494" s="632"/>
      <c r="I494" s="632"/>
      <c r="J494" s="632"/>
      <c r="K494" s="632">
        <f>CCBASE!$I$22*B494/1000</f>
        <v>621.02355</v>
      </c>
      <c r="L494" s="632"/>
      <c r="M494" s="632"/>
      <c r="N494" s="632">
        <f>(CCBASE!$I$7*B287/1000*C287/1000)*0.45</f>
        <v>44.356331250000004</v>
      </c>
      <c r="O494" s="632">
        <f>CCBASE!$I$45*B494/1000</f>
        <v>24.925000000000001</v>
      </c>
      <c r="P494" s="631"/>
      <c r="Q494" s="631"/>
      <c r="R494" s="631"/>
      <c r="S494" s="631"/>
      <c r="T494" s="631"/>
      <c r="U494" s="637">
        <f>CCBASE!$I$47*2</f>
        <v>28.82</v>
      </c>
      <c r="V494" s="631"/>
      <c r="W494" s="631"/>
      <c r="X494" s="631"/>
      <c r="Y494" s="631"/>
      <c r="Z494" s="631"/>
      <c r="AA494" s="631"/>
      <c r="AB494" s="631"/>
      <c r="AC494" s="631"/>
      <c r="AD494" s="631"/>
    </row>
    <row r="495" spans="1:30" x14ac:dyDescent="0.2">
      <c r="A495" s="630" t="s">
        <v>764</v>
      </c>
      <c r="B495" s="630">
        <v>2750</v>
      </c>
      <c r="C495" s="630">
        <v>1250</v>
      </c>
      <c r="D495" s="639" t="str">
        <f t="shared" si="178"/>
        <v>CXW-M27501250</v>
      </c>
      <c r="E495" s="1046">
        <f t="shared" si="177"/>
        <v>1364.1553693749997</v>
      </c>
      <c r="F495" s="631">
        <v>16</v>
      </c>
      <c r="G495" s="632">
        <f>F495*CCBASE!$B$51</f>
        <v>576</v>
      </c>
      <c r="H495" s="632"/>
      <c r="I495" s="632"/>
      <c r="J495" s="632"/>
      <c r="K495" s="632">
        <f>CCBASE!$I$22*B495/1000</f>
        <v>683.12590499999999</v>
      </c>
      <c r="L495" s="632"/>
      <c r="M495" s="632"/>
      <c r="N495" s="632">
        <f>(CCBASE!$I$7*B288/1000*C288/1000)*0.45</f>
        <v>48.791964374999999</v>
      </c>
      <c r="O495" s="632">
        <f>CCBASE!$I$45*B495/1000</f>
        <v>27.4175</v>
      </c>
      <c r="P495" s="631"/>
      <c r="Q495" s="631"/>
      <c r="R495" s="631"/>
      <c r="S495" s="631"/>
      <c r="T495" s="631"/>
      <c r="U495" s="637">
        <f>CCBASE!$I$47*2</f>
        <v>28.82</v>
      </c>
      <c r="V495" s="631"/>
      <c r="W495" s="631"/>
      <c r="X495" s="631"/>
      <c r="Y495" s="631"/>
      <c r="Z495" s="631"/>
      <c r="AA495" s="631"/>
      <c r="AB495" s="631"/>
      <c r="AC495" s="631"/>
      <c r="AD495" s="631"/>
    </row>
    <row r="496" spans="1:30" x14ac:dyDescent="0.2">
      <c r="A496" s="630" t="s">
        <v>764</v>
      </c>
      <c r="B496" s="630">
        <v>3000</v>
      </c>
      <c r="C496" s="630">
        <v>1250</v>
      </c>
      <c r="D496" s="639" t="str">
        <f t="shared" si="178"/>
        <v>CXW-M30001250</v>
      </c>
      <c r="E496" s="1046">
        <f t="shared" si="177"/>
        <v>1433.1858574999999</v>
      </c>
      <c r="F496" s="631">
        <v>16</v>
      </c>
      <c r="G496" s="632">
        <f>F496*CCBASE!$B$51</f>
        <v>576</v>
      </c>
      <c r="H496" s="632"/>
      <c r="I496" s="632"/>
      <c r="J496" s="632"/>
      <c r="K496" s="632">
        <f>CCBASE!$I$22*B496/1000</f>
        <v>745.22825999999998</v>
      </c>
      <c r="L496" s="632"/>
      <c r="M496" s="632"/>
      <c r="N496" s="632">
        <f>(CCBASE!$I$7*B289/1000*C289/1000)*0.45</f>
        <v>53.227597500000009</v>
      </c>
      <c r="O496" s="632">
        <f>CCBASE!$I$45*B496/1000</f>
        <v>29.910000000000004</v>
      </c>
      <c r="P496" s="631"/>
      <c r="Q496" s="631"/>
      <c r="R496" s="631"/>
      <c r="S496" s="631"/>
      <c r="T496" s="631"/>
      <c r="U496" s="637">
        <f>CCBASE!$I$47*2</f>
        <v>28.82</v>
      </c>
      <c r="V496" s="631"/>
      <c r="W496" s="631"/>
      <c r="X496" s="631"/>
      <c r="Y496" s="631"/>
      <c r="Z496" s="631"/>
      <c r="AA496" s="631"/>
      <c r="AB496" s="631"/>
      <c r="AC496" s="631"/>
      <c r="AD496" s="631"/>
    </row>
    <row r="497" spans="1:30" x14ac:dyDescent="0.2">
      <c r="A497" s="630" t="s">
        <v>764</v>
      </c>
      <c r="B497" s="630">
        <v>1000</v>
      </c>
      <c r="C497" s="630">
        <v>1500</v>
      </c>
      <c r="D497" s="639" t="str">
        <f t="shared" si="178"/>
        <v>CXW-M10001500</v>
      </c>
      <c r="E497" s="1046">
        <f t="shared" si="177"/>
        <v>872.52477399999987</v>
      </c>
      <c r="F497" s="631">
        <v>15</v>
      </c>
      <c r="G497" s="632">
        <f>F497*CCBASE!$B$51</f>
        <v>540</v>
      </c>
      <c r="H497" s="632"/>
      <c r="I497" s="632"/>
      <c r="J497" s="632"/>
      <c r="K497" s="632">
        <f>CCBASE!$I$23*B497/1000</f>
        <v>286.85373499999997</v>
      </c>
      <c r="L497" s="632"/>
      <c r="M497" s="632"/>
      <c r="N497" s="632">
        <f>(CCBASE!$I$7*B290/1000*C290/1000)*0.45</f>
        <v>21.291039000000005</v>
      </c>
      <c r="O497" s="632">
        <f>CCBASE!$I$45*B497/1000</f>
        <v>9.9700000000000006</v>
      </c>
      <c r="P497" s="631"/>
      <c r="Q497" s="631"/>
      <c r="R497" s="631"/>
      <c r="S497" s="631"/>
      <c r="T497" s="631"/>
      <c r="U497" s="637">
        <f>CCBASE!$I$47</f>
        <v>14.41</v>
      </c>
      <c r="V497" s="631"/>
      <c r="W497" s="631"/>
      <c r="X497" s="631"/>
      <c r="Y497" s="631"/>
      <c r="Z497" s="631"/>
      <c r="AA497" s="631"/>
      <c r="AB497" s="631"/>
      <c r="AC497" s="631"/>
      <c r="AD497" s="631"/>
    </row>
    <row r="498" spans="1:30" x14ac:dyDescent="0.2">
      <c r="A498" s="630" t="s">
        <v>764</v>
      </c>
      <c r="B498" s="630">
        <v>1250</v>
      </c>
      <c r="C498" s="630">
        <v>1500</v>
      </c>
      <c r="D498" s="639" t="str">
        <f t="shared" si="178"/>
        <v>CXW-M12501500</v>
      </c>
      <c r="E498" s="1046">
        <f t="shared" si="177"/>
        <v>952.0534674999999</v>
      </c>
      <c r="F498" s="631">
        <v>15</v>
      </c>
      <c r="G498" s="632">
        <f>F498*CCBASE!$B$51</f>
        <v>540</v>
      </c>
      <c r="H498" s="632"/>
      <c r="I498" s="632"/>
      <c r="J498" s="632"/>
      <c r="K498" s="632">
        <f>CCBASE!$I$23*B498/1000</f>
        <v>358.56716874999995</v>
      </c>
      <c r="L498" s="632"/>
      <c r="M498" s="632"/>
      <c r="N498" s="632">
        <f>(CCBASE!$I$7*B291/1000*C291/1000)*0.45</f>
        <v>26.613798750000001</v>
      </c>
      <c r="O498" s="632">
        <f>CCBASE!$I$45*B498/1000</f>
        <v>12.4625</v>
      </c>
      <c r="P498" s="631"/>
      <c r="Q498" s="631"/>
      <c r="R498" s="631"/>
      <c r="S498" s="631"/>
      <c r="T498" s="631"/>
      <c r="U498" s="637">
        <f>CCBASE!$I$47</f>
        <v>14.41</v>
      </c>
      <c r="V498" s="631"/>
      <c r="W498" s="631"/>
      <c r="X498" s="631"/>
      <c r="Y498" s="631"/>
      <c r="Z498" s="631"/>
      <c r="AA498" s="631"/>
      <c r="AB498" s="631"/>
      <c r="AC498" s="631"/>
      <c r="AD498" s="631"/>
    </row>
    <row r="499" spans="1:30" x14ac:dyDescent="0.2">
      <c r="A499" s="630" t="s">
        <v>764</v>
      </c>
      <c r="B499" s="630">
        <v>1500</v>
      </c>
      <c r="C499" s="630">
        <v>1500</v>
      </c>
      <c r="D499" s="639" t="str">
        <f t="shared" si="178"/>
        <v>CXW-M15001500</v>
      </c>
      <c r="E499" s="1046">
        <f t="shared" si="177"/>
        <v>1031.582161</v>
      </c>
      <c r="F499" s="631">
        <v>15</v>
      </c>
      <c r="G499" s="632">
        <f>F499*CCBASE!$B$51</f>
        <v>540</v>
      </c>
      <c r="H499" s="632"/>
      <c r="I499" s="632"/>
      <c r="J499" s="632"/>
      <c r="K499" s="632">
        <f>CCBASE!$I$23*B499/1000</f>
        <v>430.28060249999999</v>
      </c>
      <c r="L499" s="632"/>
      <c r="M499" s="632"/>
      <c r="N499" s="632">
        <f>(CCBASE!$I$7*B292/1000*C292/1000)*0.45</f>
        <v>31.936558500000007</v>
      </c>
      <c r="O499" s="632">
        <f>CCBASE!$I$45*B499/1000</f>
        <v>14.955000000000002</v>
      </c>
      <c r="P499" s="631"/>
      <c r="Q499" s="631"/>
      <c r="R499" s="631"/>
      <c r="S499" s="631"/>
      <c r="T499" s="631"/>
      <c r="U499" s="637">
        <f>CCBASE!$I$47</f>
        <v>14.41</v>
      </c>
      <c r="V499" s="631"/>
      <c r="W499" s="631"/>
      <c r="X499" s="631"/>
      <c r="Y499" s="631"/>
      <c r="Z499" s="631"/>
      <c r="AA499" s="631"/>
      <c r="AB499" s="631"/>
      <c r="AC499" s="631"/>
      <c r="AD499" s="631"/>
    </row>
    <row r="500" spans="1:30" x14ac:dyDescent="0.2">
      <c r="A500" s="630" t="s">
        <v>764</v>
      </c>
      <c r="B500" s="630">
        <v>1750</v>
      </c>
      <c r="C500" s="630">
        <v>1500</v>
      </c>
      <c r="D500" s="639" t="str">
        <f t="shared" si="178"/>
        <v>CXW-M17501500</v>
      </c>
      <c r="E500" s="1046">
        <f t="shared" si="177"/>
        <v>1147.1108545</v>
      </c>
      <c r="F500" s="631">
        <v>16</v>
      </c>
      <c r="G500" s="632">
        <f>F500*CCBASE!$B$51</f>
        <v>576</v>
      </c>
      <c r="H500" s="632"/>
      <c r="I500" s="632"/>
      <c r="J500" s="632"/>
      <c r="K500" s="632">
        <f>CCBASE!$I$23*B500/1000</f>
        <v>501.99403624999997</v>
      </c>
      <c r="L500" s="632"/>
      <c r="M500" s="632"/>
      <c r="N500" s="632">
        <f>(CCBASE!$I$7*B293/1000*C293/1000)*0.45</f>
        <v>37.25931825</v>
      </c>
      <c r="O500" s="632">
        <f>CCBASE!$I$45*B500/1000</f>
        <v>17.447500000000002</v>
      </c>
      <c r="P500" s="631"/>
      <c r="Q500" s="631"/>
      <c r="R500" s="631"/>
      <c r="S500" s="631"/>
      <c r="T500" s="631"/>
      <c r="U500" s="637">
        <f>CCBASE!$I$47</f>
        <v>14.41</v>
      </c>
      <c r="V500" s="631"/>
      <c r="W500" s="631"/>
      <c r="X500" s="631"/>
      <c r="Y500" s="631"/>
      <c r="Z500" s="631"/>
      <c r="AA500" s="631"/>
      <c r="AB500" s="631"/>
      <c r="AC500" s="631"/>
      <c r="AD500" s="631"/>
    </row>
    <row r="501" spans="1:30" x14ac:dyDescent="0.2">
      <c r="A501" s="630" t="s">
        <v>764</v>
      </c>
      <c r="B501" s="630">
        <v>2000</v>
      </c>
      <c r="C501" s="630">
        <v>1500</v>
      </c>
      <c r="D501" s="639" t="str">
        <f t="shared" si="178"/>
        <v>CXW-M20001500</v>
      </c>
      <c r="E501" s="1046">
        <f t="shared" si="177"/>
        <v>1226.6395479999999</v>
      </c>
      <c r="F501" s="631">
        <v>16</v>
      </c>
      <c r="G501" s="632">
        <f>F501*CCBASE!$B$51</f>
        <v>576</v>
      </c>
      <c r="H501" s="632"/>
      <c r="I501" s="632"/>
      <c r="J501" s="632"/>
      <c r="K501" s="632">
        <f>CCBASE!$I$23*B501/1000</f>
        <v>573.70746999999994</v>
      </c>
      <c r="L501" s="632"/>
      <c r="M501" s="632"/>
      <c r="N501" s="632">
        <f>(CCBASE!$I$7*B294/1000*C294/1000)*0.45</f>
        <v>42.58207800000001</v>
      </c>
      <c r="O501" s="632">
        <f>CCBASE!$I$45*B501/1000</f>
        <v>19.940000000000001</v>
      </c>
      <c r="P501" s="631"/>
      <c r="Q501" s="631"/>
      <c r="R501" s="631"/>
      <c r="S501" s="631"/>
      <c r="T501" s="631"/>
      <c r="U501" s="637">
        <f>CCBASE!$I$47</f>
        <v>14.41</v>
      </c>
      <c r="V501" s="631"/>
      <c r="W501" s="631"/>
      <c r="X501" s="631"/>
      <c r="Y501" s="631"/>
      <c r="Z501" s="631"/>
      <c r="AA501" s="631"/>
      <c r="AB501" s="631"/>
      <c r="AC501" s="631"/>
      <c r="AD501" s="631"/>
    </row>
    <row r="502" spans="1:30" x14ac:dyDescent="0.2">
      <c r="A502" s="630" t="s">
        <v>764</v>
      </c>
      <c r="B502" s="630">
        <v>2250</v>
      </c>
      <c r="C502" s="630">
        <v>1500</v>
      </c>
      <c r="D502" s="639" t="str">
        <f t="shared" si="178"/>
        <v>CXW-M22501500</v>
      </c>
      <c r="E502" s="1046">
        <f t="shared" si="177"/>
        <v>1320.5782414999999</v>
      </c>
      <c r="F502" s="631">
        <v>16</v>
      </c>
      <c r="G502" s="632">
        <f>F502*CCBASE!$B$51</f>
        <v>576</v>
      </c>
      <c r="H502" s="632"/>
      <c r="I502" s="632"/>
      <c r="J502" s="632"/>
      <c r="K502" s="632">
        <f>CCBASE!$I$23*B502/1000</f>
        <v>645.42090374999998</v>
      </c>
      <c r="L502" s="632"/>
      <c r="M502" s="632"/>
      <c r="N502" s="632">
        <f>(CCBASE!$I$7*B295/1000*C295/1000)*0.45</f>
        <v>47.904837750000006</v>
      </c>
      <c r="O502" s="632">
        <f>CCBASE!$I$45*B502/1000</f>
        <v>22.432500000000001</v>
      </c>
      <c r="P502" s="631"/>
      <c r="Q502" s="631"/>
      <c r="R502" s="631"/>
      <c r="S502" s="631"/>
      <c r="T502" s="631"/>
      <c r="U502" s="637">
        <f>CCBASE!$I$47*2</f>
        <v>28.82</v>
      </c>
      <c r="V502" s="631"/>
      <c r="W502" s="631"/>
      <c r="X502" s="631"/>
      <c r="Y502" s="631"/>
      <c r="Z502" s="631"/>
      <c r="AA502" s="631"/>
      <c r="AB502" s="631"/>
      <c r="AC502" s="631"/>
      <c r="AD502" s="631"/>
    </row>
    <row r="503" spans="1:30" x14ac:dyDescent="0.2">
      <c r="A503" s="630" t="s">
        <v>764</v>
      </c>
      <c r="B503" s="630">
        <v>2500</v>
      </c>
      <c r="C503" s="630">
        <v>1500</v>
      </c>
      <c r="D503" s="639" t="str">
        <f t="shared" si="178"/>
        <v>CXW-M25001500</v>
      </c>
      <c r="E503" s="1046">
        <f t="shared" si="177"/>
        <v>1400.1069349999998</v>
      </c>
      <c r="F503" s="631">
        <v>16</v>
      </c>
      <c r="G503" s="632">
        <f>F503*CCBASE!$B$51</f>
        <v>576</v>
      </c>
      <c r="H503" s="632"/>
      <c r="I503" s="632"/>
      <c r="J503" s="632"/>
      <c r="K503" s="632">
        <f>CCBASE!$I$23*B503/1000</f>
        <v>717.1343374999999</v>
      </c>
      <c r="L503" s="632"/>
      <c r="M503" s="632"/>
      <c r="N503" s="632">
        <f>(CCBASE!$I$7*B296/1000*C296/1000)*0.45</f>
        <v>53.227597500000002</v>
      </c>
      <c r="O503" s="632">
        <f>CCBASE!$I$45*B503/1000</f>
        <v>24.925000000000001</v>
      </c>
      <c r="P503" s="631"/>
      <c r="Q503" s="631"/>
      <c r="R503" s="631"/>
      <c r="S503" s="631"/>
      <c r="T503" s="631"/>
      <c r="U503" s="637">
        <f>CCBASE!$I$47*2</f>
        <v>28.82</v>
      </c>
      <c r="V503" s="631"/>
      <c r="W503" s="631"/>
      <c r="X503" s="631"/>
      <c r="Y503" s="631"/>
      <c r="Z503" s="631"/>
      <c r="AA503" s="631"/>
      <c r="AB503" s="631"/>
      <c r="AC503" s="631"/>
      <c r="AD503" s="631"/>
    </row>
    <row r="504" spans="1:30" x14ac:dyDescent="0.2">
      <c r="A504" s="630" t="s">
        <v>764</v>
      </c>
      <c r="B504" s="630">
        <v>2750</v>
      </c>
      <c r="C504" s="630">
        <v>1500</v>
      </c>
      <c r="D504" s="639" t="str">
        <f t="shared" si="178"/>
        <v>CXW-M27501500</v>
      </c>
      <c r="E504" s="1046">
        <f t="shared" si="177"/>
        <v>1479.6356284999997</v>
      </c>
      <c r="F504" s="631">
        <v>16</v>
      </c>
      <c r="G504" s="632">
        <f>F504*CCBASE!$B$51</f>
        <v>576</v>
      </c>
      <c r="H504" s="632"/>
      <c r="I504" s="632"/>
      <c r="J504" s="632"/>
      <c r="K504" s="632">
        <f>CCBASE!$I$23*B504/1000</f>
        <v>788.84777124999982</v>
      </c>
      <c r="L504" s="632"/>
      <c r="M504" s="632"/>
      <c r="N504" s="632">
        <f>(CCBASE!$I$7*B297/1000*C297/1000)*0.45</f>
        <v>58.550357250000005</v>
      </c>
      <c r="O504" s="632">
        <f>CCBASE!$I$45*B504/1000</f>
        <v>27.4175</v>
      </c>
      <c r="P504" s="631"/>
      <c r="Q504" s="631"/>
      <c r="R504" s="631"/>
      <c r="S504" s="631"/>
      <c r="T504" s="631"/>
      <c r="U504" s="637">
        <f>CCBASE!$I$47*2</f>
        <v>28.82</v>
      </c>
      <c r="V504" s="631"/>
      <c r="W504" s="631"/>
      <c r="X504" s="631"/>
      <c r="Y504" s="631"/>
      <c r="Z504" s="631"/>
      <c r="AA504" s="631"/>
      <c r="AB504" s="631"/>
      <c r="AC504" s="631"/>
      <c r="AD504" s="631"/>
    </row>
    <row r="505" spans="1:30" x14ac:dyDescent="0.2">
      <c r="A505" s="630" t="s">
        <v>764</v>
      </c>
      <c r="B505" s="630">
        <v>3000</v>
      </c>
      <c r="C505" s="630">
        <v>1500</v>
      </c>
      <c r="D505" s="639" t="str">
        <f t="shared" si="178"/>
        <v>CXW-M30001500</v>
      </c>
      <c r="E505" s="1046">
        <f t="shared" si="177"/>
        <v>1559.1643220000001</v>
      </c>
      <c r="F505" s="631">
        <v>16</v>
      </c>
      <c r="G505" s="632">
        <f>F505*CCBASE!$B$51</f>
        <v>576</v>
      </c>
      <c r="H505" s="632"/>
      <c r="I505" s="632"/>
      <c r="J505" s="632"/>
      <c r="K505" s="632">
        <f>CCBASE!$I$23*B505/1000</f>
        <v>860.56120499999997</v>
      </c>
      <c r="L505" s="632"/>
      <c r="M505" s="632"/>
      <c r="N505" s="632">
        <f>(CCBASE!$I$7*B298/1000*C298/1000)*0.45</f>
        <v>63.873117000000015</v>
      </c>
      <c r="O505" s="632">
        <f>CCBASE!$I$45*B505/1000</f>
        <v>29.910000000000004</v>
      </c>
      <c r="P505" s="631"/>
      <c r="Q505" s="631"/>
      <c r="R505" s="631"/>
      <c r="S505" s="631"/>
      <c r="T505" s="631"/>
      <c r="U505" s="637">
        <f>CCBASE!$I$47*2</f>
        <v>28.82</v>
      </c>
      <c r="V505" s="631"/>
      <c r="W505" s="631"/>
      <c r="X505" s="631"/>
      <c r="Y505" s="631"/>
      <c r="Z505" s="631"/>
      <c r="AA505" s="631"/>
      <c r="AB505" s="631"/>
      <c r="AC505" s="631"/>
      <c r="AD505" s="631"/>
    </row>
    <row r="506" spans="1:30" x14ac:dyDescent="0.2">
      <c r="A506" s="630" t="s">
        <v>764</v>
      </c>
      <c r="B506" s="630">
        <v>1000</v>
      </c>
      <c r="C506" s="630">
        <v>1750</v>
      </c>
      <c r="D506" s="639" t="str">
        <f t="shared" si="178"/>
        <v>CXW-M10001750</v>
      </c>
      <c r="E506" s="1046">
        <f t="shared" si="177"/>
        <v>1003.2352454999999</v>
      </c>
      <c r="F506" s="631">
        <v>15</v>
      </c>
      <c r="G506" s="632">
        <f>F506*CCBASE!$B$51</f>
        <v>540</v>
      </c>
      <c r="H506" s="632"/>
      <c r="I506" s="632"/>
      <c r="J506" s="632"/>
      <c r="K506" s="632">
        <f>CCBASE!$I$24*B506/1000</f>
        <v>414.01569999999998</v>
      </c>
      <c r="L506" s="632"/>
      <c r="M506" s="632"/>
      <c r="N506" s="632">
        <f>(CCBASE!$I$7*B299/1000*C299/1000)*0.45</f>
        <v>24.8395455</v>
      </c>
      <c r="O506" s="632">
        <f>CCBASE!$I$45*B506/1000</f>
        <v>9.9700000000000006</v>
      </c>
      <c r="P506" s="631"/>
      <c r="Q506" s="631"/>
      <c r="R506" s="631"/>
      <c r="S506" s="631"/>
      <c r="T506" s="631"/>
      <c r="U506" s="637">
        <f>CCBASE!$I$47</f>
        <v>14.41</v>
      </c>
      <c r="V506" s="631"/>
      <c r="W506" s="631"/>
      <c r="X506" s="631"/>
      <c r="Y506" s="631"/>
      <c r="Z506" s="631"/>
      <c r="AA506" s="631"/>
      <c r="AB506" s="631"/>
      <c r="AC506" s="631"/>
      <c r="AD506" s="631"/>
    </row>
    <row r="507" spans="1:30" x14ac:dyDescent="0.2">
      <c r="A507" s="630" t="s">
        <v>764</v>
      </c>
      <c r="B507" s="630">
        <v>1250</v>
      </c>
      <c r="C507" s="630">
        <v>1750</v>
      </c>
      <c r="D507" s="639" t="str">
        <f t="shared" si="178"/>
        <v>CXW-M12501750</v>
      </c>
      <c r="E507" s="1046">
        <f t="shared" si="177"/>
        <v>1115.4415568750001</v>
      </c>
      <c r="F507" s="631">
        <v>15</v>
      </c>
      <c r="G507" s="632">
        <f>F507*CCBASE!$B$51</f>
        <v>540</v>
      </c>
      <c r="H507" s="632"/>
      <c r="I507" s="632"/>
      <c r="J507" s="632"/>
      <c r="K507" s="632">
        <f>CCBASE!$I$24*B507/1000</f>
        <v>517.51962499999991</v>
      </c>
      <c r="L507" s="632"/>
      <c r="M507" s="632"/>
      <c r="N507" s="632">
        <f>(CCBASE!$I$7*B300/1000*C300/1000)*0.45</f>
        <v>31.049431875000003</v>
      </c>
      <c r="O507" s="632">
        <f>CCBASE!$I$45*B507/1000</f>
        <v>12.4625</v>
      </c>
      <c r="P507" s="631"/>
      <c r="Q507" s="631"/>
      <c r="R507" s="631"/>
      <c r="S507" s="631"/>
      <c r="T507" s="631"/>
      <c r="U507" s="637">
        <f>CCBASE!$I$47</f>
        <v>14.41</v>
      </c>
      <c r="V507" s="631"/>
      <c r="W507" s="631"/>
      <c r="X507" s="631"/>
      <c r="Y507" s="631"/>
      <c r="Z507" s="631"/>
      <c r="AA507" s="631"/>
      <c r="AB507" s="631"/>
      <c r="AC507" s="631"/>
      <c r="AD507" s="631"/>
    </row>
    <row r="508" spans="1:30" x14ac:dyDescent="0.2">
      <c r="A508" s="630" t="s">
        <v>764</v>
      </c>
      <c r="B508" s="630">
        <v>1500</v>
      </c>
      <c r="C508" s="630">
        <v>1750</v>
      </c>
      <c r="D508" s="639" t="str">
        <f t="shared" si="178"/>
        <v>CXW-M15001750</v>
      </c>
      <c r="E508" s="1046">
        <f t="shared" si="177"/>
        <v>1227.6478682499999</v>
      </c>
      <c r="F508" s="631">
        <v>15</v>
      </c>
      <c r="G508" s="632">
        <f>F508*CCBASE!$B$51</f>
        <v>540</v>
      </c>
      <c r="H508" s="632"/>
      <c r="I508" s="632"/>
      <c r="J508" s="632"/>
      <c r="K508" s="632">
        <f>CCBASE!$I$24*B508/1000</f>
        <v>621.02354999999989</v>
      </c>
      <c r="L508" s="632"/>
      <c r="M508" s="632"/>
      <c r="N508" s="632">
        <f>(CCBASE!$I$7*B301/1000*C301/1000)*0.45</f>
        <v>37.259318250000007</v>
      </c>
      <c r="O508" s="632">
        <f>CCBASE!$I$45*B508/1000</f>
        <v>14.955000000000002</v>
      </c>
      <c r="P508" s="631"/>
      <c r="Q508" s="631"/>
      <c r="R508" s="631"/>
      <c r="S508" s="631"/>
      <c r="T508" s="631"/>
      <c r="U508" s="637">
        <f>CCBASE!$I$47</f>
        <v>14.41</v>
      </c>
      <c r="V508" s="631"/>
      <c r="W508" s="631"/>
      <c r="X508" s="631"/>
      <c r="Y508" s="631"/>
      <c r="Z508" s="631"/>
      <c r="AA508" s="631"/>
      <c r="AB508" s="631"/>
      <c r="AC508" s="631"/>
      <c r="AD508" s="631"/>
    </row>
    <row r="509" spans="1:30" x14ac:dyDescent="0.2">
      <c r="A509" s="630" t="s">
        <v>764</v>
      </c>
      <c r="B509" s="630">
        <v>1750</v>
      </c>
      <c r="C509" s="630">
        <v>1750</v>
      </c>
      <c r="D509" s="639" t="str">
        <f t="shared" si="178"/>
        <v>CXW-M17501750</v>
      </c>
      <c r="E509" s="1046">
        <f t="shared" si="177"/>
        <v>1375.8541796249999</v>
      </c>
      <c r="F509" s="631">
        <v>16</v>
      </c>
      <c r="G509" s="632">
        <f>F509*CCBASE!$B$51</f>
        <v>576</v>
      </c>
      <c r="H509" s="632"/>
      <c r="I509" s="632"/>
      <c r="J509" s="632"/>
      <c r="K509" s="632">
        <f>CCBASE!$I$24*B509/1000</f>
        <v>724.52747499999987</v>
      </c>
      <c r="L509" s="632"/>
      <c r="M509" s="632"/>
      <c r="N509" s="632">
        <f>(CCBASE!$I$7*B302/1000*C302/1000)*0.45</f>
        <v>43.469204624999996</v>
      </c>
      <c r="O509" s="632">
        <f>CCBASE!$I$45*B509/1000</f>
        <v>17.447500000000002</v>
      </c>
      <c r="P509" s="631"/>
      <c r="Q509" s="631"/>
      <c r="R509" s="631"/>
      <c r="S509" s="631"/>
      <c r="T509" s="631"/>
      <c r="U509" s="637">
        <f>CCBASE!$I$47</f>
        <v>14.41</v>
      </c>
      <c r="V509" s="631"/>
      <c r="W509" s="631"/>
      <c r="X509" s="631"/>
      <c r="Y509" s="631"/>
      <c r="Z509" s="631"/>
      <c r="AA509" s="631"/>
      <c r="AB509" s="631"/>
      <c r="AC509" s="631"/>
      <c r="AD509" s="631"/>
    </row>
    <row r="510" spans="1:30" x14ac:dyDescent="0.2">
      <c r="A510" s="630" t="s">
        <v>764</v>
      </c>
      <c r="B510" s="630">
        <v>2000</v>
      </c>
      <c r="C510" s="630">
        <v>1750</v>
      </c>
      <c r="D510" s="639" t="str">
        <f t="shared" si="178"/>
        <v>CXW-M20001750</v>
      </c>
      <c r="E510" s="1046">
        <f t="shared" si="177"/>
        <v>1488.060491</v>
      </c>
      <c r="F510" s="631">
        <v>16</v>
      </c>
      <c r="G510" s="632">
        <f>F510*CCBASE!$B$51</f>
        <v>576</v>
      </c>
      <c r="H510" s="632"/>
      <c r="I510" s="632"/>
      <c r="J510" s="632"/>
      <c r="K510" s="632">
        <f>CCBASE!$I$24*B510/1000</f>
        <v>828.03139999999996</v>
      </c>
      <c r="L510" s="632"/>
      <c r="M510" s="632"/>
      <c r="N510" s="632">
        <f>(CCBASE!$I$7*B303/1000*C303/1000)*0.45</f>
        <v>49.679091</v>
      </c>
      <c r="O510" s="632">
        <f>CCBASE!$I$45*B510/1000</f>
        <v>19.940000000000001</v>
      </c>
      <c r="P510" s="631"/>
      <c r="Q510" s="631"/>
      <c r="R510" s="631"/>
      <c r="S510" s="631"/>
      <c r="T510" s="631"/>
      <c r="U510" s="637">
        <f>CCBASE!$I$47</f>
        <v>14.41</v>
      </c>
      <c r="V510" s="631"/>
      <c r="W510" s="631"/>
      <c r="X510" s="631"/>
      <c r="Y510" s="631"/>
      <c r="Z510" s="631"/>
      <c r="AA510" s="631"/>
      <c r="AB510" s="631"/>
      <c r="AC510" s="631"/>
      <c r="AD510" s="631"/>
    </row>
    <row r="511" spans="1:30" x14ac:dyDescent="0.2">
      <c r="A511" s="630" t="s">
        <v>764</v>
      </c>
      <c r="B511" s="630">
        <v>2250</v>
      </c>
      <c r="C511" s="630">
        <v>1750</v>
      </c>
      <c r="D511" s="639" t="str">
        <f t="shared" si="178"/>
        <v>CXW-M22501750</v>
      </c>
      <c r="E511" s="1046">
        <f t="shared" si="177"/>
        <v>1614.6768023749996</v>
      </c>
      <c r="F511" s="631">
        <v>16</v>
      </c>
      <c r="G511" s="632">
        <f>F511*CCBASE!$B$51</f>
        <v>576</v>
      </c>
      <c r="H511" s="632"/>
      <c r="I511" s="632"/>
      <c r="J511" s="632"/>
      <c r="K511" s="632">
        <f>CCBASE!$I$24*B511/1000</f>
        <v>931.53532499999983</v>
      </c>
      <c r="L511" s="632"/>
      <c r="M511" s="632"/>
      <c r="N511" s="632">
        <f>(CCBASE!$I$7*B304/1000*C304/1000)*0.45</f>
        <v>55.88897737500001</v>
      </c>
      <c r="O511" s="632">
        <f>CCBASE!$I$45*B511/1000</f>
        <v>22.432500000000001</v>
      </c>
      <c r="P511" s="631"/>
      <c r="Q511" s="631"/>
      <c r="R511" s="631"/>
      <c r="S511" s="631"/>
      <c r="T511" s="631"/>
      <c r="U511" s="637">
        <f>CCBASE!$I$47*2</f>
        <v>28.82</v>
      </c>
      <c r="V511" s="631"/>
      <c r="W511" s="631"/>
      <c r="X511" s="631"/>
      <c r="Y511" s="631"/>
      <c r="Z511" s="631"/>
      <c r="AA511" s="631"/>
      <c r="AB511" s="631"/>
      <c r="AC511" s="631"/>
      <c r="AD511" s="631"/>
    </row>
    <row r="512" spans="1:30" x14ac:dyDescent="0.2">
      <c r="A512" s="630" t="s">
        <v>764</v>
      </c>
      <c r="B512" s="630">
        <v>2500</v>
      </c>
      <c r="C512" s="630">
        <v>1750</v>
      </c>
      <c r="D512" s="639" t="str">
        <f t="shared" si="178"/>
        <v>CXW-M25001750</v>
      </c>
      <c r="E512" s="1046">
        <f t="shared" si="177"/>
        <v>1726.8831137499997</v>
      </c>
      <c r="F512" s="631">
        <v>16</v>
      </c>
      <c r="G512" s="632">
        <f>F512*CCBASE!$B$51</f>
        <v>576</v>
      </c>
      <c r="H512" s="632"/>
      <c r="I512" s="632"/>
      <c r="J512" s="632"/>
      <c r="K512" s="632">
        <f>CCBASE!$I$24*B512/1000</f>
        <v>1035.0392499999998</v>
      </c>
      <c r="L512" s="632"/>
      <c r="M512" s="632"/>
      <c r="N512" s="632">
        <f>(CCBASE!$I$7*B305/1000*C305/1000)*0.45</f>
        <v>62.098863750000007</v>
      </c>
      <c r="O512" s="632">
        <f>CCBASE!$I$45*B512/1000</f>
        <v>24.925000000000001</v>
      </c>
      <c r="P512" s="631"/>
      <c r="Q512" s="631"/>
      <c r="R512" s="631"/>
      <c r="S512" s="631"/>
      <c r="T512" s="631"/>
      <c r="U512" s="637">
        <f>CCBASE!$I$47*2</f>
        <v>28.82</v>
      </c>
      <c r="V512" s="631"/>
      <c r="W512" s="631"/>
      <c r="X512" s="631"/>
      <c r="Y512" s="631"/>
      <c r="Z512" s="631"/>
      <c r="AA512" s="631"/>
      <c r="AB512" s="631"/>
      <c r="AC512" s="631"/>
      <c r="AD512" s="631"/>
    </row>
    <row r="513" spans="1:30" x14ac:dyDescent="0.2">
      <c r="A513" s="630" t="s">
        <v>764</v>
      </c>
      <c r="B513" s="630">
        <v>2750</v>
      </c>
      <c r="C513" s="630">
        <v>1750</v>
      </c>
      <c r="D513" s="639" t="str">
        <f t="shared" si="178"/>
        <v>CXW-M27501750</v>
      </c>
      <c r="E513" s="1046">
        <f t="shared" si="177"/>
        <v>1839.0894251249997</v>
      </c>
      <c r="F513" s="631">
        <v>16</v>
      </c>
      <c r="G513" s="632">
        <f>F513*CCBASE!$B$51</f>
        <v>576</v>
      </c>
      <c r="H513" s="632"/>
      <c r="I513" s="632"/>
      <c r="J513" s="632"/>
      <c r="K513" s="632">
        <f>CCBASE!$I$24*B513/1000</f>
        <v>1138.5431749999998</v>
      </c>
      <c r="L513" s="632"/>
      <c r="M513" s="632"/>
      <c r="N513" s="632">
        <f>(CCBASE!$I$7*B306/1000*C306/1000)*0.45</f>
        <v>68.308750125000003</v>
      </c>
      <c r="O513" s="632">
        <f>CCBASE!$I$45*B513/1000</f>
        <v>27.4175</v>
      </c>
      <c r="P513" s="631"/>
      <c r="Q513" s="631"/>
      <c r="R513" s="631"/>
      <c r="S513" s="631"/>
      <c r="T513" s="631"/>
      <c r="U513" s="637">
        <f>CCBASE!$I$47*2</f>
        <v>28.82</v>
      </c>
      <c r="V513" s="631"/>
      <c r="W513" s="631"/>
      <c r="X513" s="631"/>
      <c r="Y513" s="631"/>
      <c r="Z513" s="631"/>
      <c r="AA513" s="631"/>
      <c r="AB513" s="631"/>
      <c r="AC513" s="631"/>
      <c r="AD513" s="631"/>
    </row>
    <row r="514" spans="1:30" x14ac:dyDescent="0.2">
      <c r="A514" s="630" t="s">
        <v>764</v>
      </c>
      <c r="B514" s="630">
        <v>3000</v>
      </c>
      <c r="C514" s="630">
        <v>1750</v>
      </c>
      <c r="D514" s="639" t="str">
        <f t="shared" si="178"/>
        <v>CXW-M30001750</v>
      </c>
      <c r="E514" s="1046">
        <f t="shared" si="177"/>
        <v>1951.2957364999997</v>
      </c>
      <c r="F514" s="631">
        <v>16</v>
      </c>
      <c r="G514" s="632">
        <f>F514*CCBASE!$B$51</f>
        <v>576</v>
      </c>
      <c r="H514" s="632"/>
      <c r="I514" s="632"/>
      <c r="J514" s="632"/>
      <c r="K514" s="632">
        <f>CCBASE!$I$24*B514/1000</f>
        <v>1242.0470999999998</v>
      </c>
      <c r="L514" s="632"/>
      <c r="M514" s="632"/>
      <c r="N514" s="632">
        <f>(CCBASE!$I$7*B307/1000*C307/1000)*0.45</f>
        <v>74.518636500000014</v>
      </c>
      <c r="O514" s="632">
        <f>CCBASE!$I$45*B514/1000</f>
        <v>29.910000000000004</v>
      </c>
      <c r="P514" s="631"/>
      <c r="Q514" s="631"/>
      <c r="R514" s="631"/>
      <c r="S514" s="631"/>
      <c r="T514" s="631"/>
      <c r="U514" s="637">
        <f>CCBASE!$I$47*2</f>
        <v>28.82</v>
      </c>
      <c r="V514" s="631"/>
      <c r="W514" s="631"/>
      <c r="X514" s="631"/>
      <c r="Y514" s="631"/>
      <c r="Z514" s="631"/>
      <c r="AA514" s="631"/>
      <c r="AB514" s="631"/>
      <c r="AC514" s="631"/>
      <c r="AD514" s="631"/>
    </row>
    <row r="515" spans="1:30" x14ac:dyDescent="0.2">
      <c r="A515" s="630" t="s">
        <v>764</v>
      </c>
      <c r="B515" s="630">
        <v>1000</v>
      </c>
      <c r="C515" s="630">
        <v>2000</v>
      </c>
      <c r="D515" s="639" t="str">
        <f t="shared" ref="D515:D572" si="179">$A515&amp;B515&amp;C515</f>
        <v>CXW-M10002000</v>
      </c>
      <c r="E515" s="1046">
        <f t="shared" si="177"/>
        <v>1036.948551</v>
      </c>
      <c r="F515" s="631">
        <v>15</v>
      </c>
      <c r="G515" s="632">
        <f>F515*CCBASE!$B$51</f>
        <v>540</v>
      </c>
      <c r="H515" s="632"/>
      <c r="I515" s="632"/>
      <c r="J515" s="632"/>
      <c r="K515" s="632">
        <f>CCBASE!$I$25*B515/1000</f>
        <v>458.37452499999995</v>
      </c>
      <c r="L515" s="632"/>
      <c r="M515" s="632"/>
      <c r="N515" s="632">
        <f>(CCBASE!$I$7*B317/1000*C317/1000)*0.45</f>
        <v>14.194026000000001</v>
      </c>
      <c r="O515" s="632">
        <f>CCBASE!$I$45*B515/1000</f>
        <v>9.9700000000000006</v>
      </c>
      <c r="P515" s="631"/>
      <c r="Q515" s="631"/>
      <c r="R515" s="631"/>
      <c r="S515" s="631"/>
      <c r="T515" s="631"/>
      <c r="U515" s="637">
        <f>CCBASE!$I$47</f>
        <v>14.41</v>
      </c>
      <c r="V515" s="631"/>
      <c r="W515" s="631"/>
      <c r="X515" s="631"/>
      <c r="Y515" s="631"/>
      <c r="Z515" s="631"/>
      <c r="AA515" s="631"/>
      <c r="AB515" s="631"/>
      <c r="AC515" s="631"/>
      <c r="AD515" s="631"/>
    </row>
    <row r="516" spans="1:30" x14ac:dyDescent="0.2">
      <c r="A516" s="630" t="s">
        <v>764</v>
      </c>
      <c r="B516" s="630">
        <v>1250</v>
      </c>
      <c r="C516" s="630">
        <v>2000</v>
      </c>
      <c r="D516" s="639" t="str">
        <f t="shared" si="179"/>
        <v>CXW-M12502000</v>
      </c>
      <c r="E516" s="1046">
        <f t="shared" si="177"/>
        <v>1157.5831887500001</v>
      </c>
      <c r="F516" s="631">
        <v>15</v>
      </c>
      <c r="G516" s="632">
        <f>F516*CCBASE!$B$51</f>
        <v>540</v>
      </c>
      <c r="H516" s="632"/>
      <c r="I516" s="632"/>
      <c r="J516" s="632"/>
      <c r="K516" s="632">
        <f>CCBASE!$I$25*B516/1000</f>
        <v>572.96815624999988</v>
      </c>
      <c r="L516" s="632"/>
      <c r="M516" s="632"/>
      <c r="N516" s="632">
        <f>(CCBASE!$I$7*B318/1000*C318/1000)*0.45</f>
        <v>17.742532499999999</v>
      </c>
      <c r="O516" s="632">
        <f>CCBASE!$I$45*B516/1000</f>
        <v>12.4625</v>
      </c>
      <c r="P516" s="631"/>
      <c r="Q516" s="631"/>
      <c r="R516" s="631"/>
      <c r="S516" s="631"/>
      <c r="T516" s="631"/>
      <c r="U516" s="637">
        <f>CCBASE!$I$47</f>
        <v>14.41</v>
      </c>
      <c r="V516" s="631"/>
      <c r="W516" s="631"/>
      <c r="X516" s="631"/>
      <c r="Y516" s="631"/>
      <c r="Z516" s="631"/>
      <c r="AA516" s="631"/>
      <c r="AB516" s="631"/>
      <c r="AC516" s="631"/>
      <c r="AD516" s="631"/>
    </row>
    <row r="517" spans="1:30" x14ac:dyDescent="0.2">
      <c r="A517" s="630" t="s">
        <v>764</v>
      </c>
      <c r="B517" s="630">
        <v>1500</v>
      </c>
      <c r="C517" s="630">
        <v>2000</v>
      </c>
      <c r="D517" s="639" t="str">
        <f t="shared" si="179"/>
        <v>CXW-M15002000</v>
      </c>
      <c r="E517" s="1046">
        <f t="shared" si="177"/>
        <v>1278.2178264999998</v>
      </c>
      <c r="F517" s="631">
        <v>15</v>
      </c>
      <c r="G517" s="632">
        <f>F517*CCBASE!$B$51</f>
        <v>540</v>
      </c>
      <c r="H517" s="632"/>
      <c r="I517" s="632"/>
      <c r="J517" s="632"/>
      <c r="K517" s="632">
        <f>CCBASE!$I$25*B517/1000</f>
        <v>687.56178749999992</v>
      </c>
      <c r="L517" s="632"/>
      <c r="M517" s="632"/>
      <c r="N517" s="632">
        <f>(CCBASE!$I$7*B319/1000*C319/1000)*0.45</f>
        <v>21.291039000000005</v>
      </c>
      <c r="O517" s="632">
        <f>CCBASE!$I$45*B517/1000</f>
        <v>14.955000000000002</v>
      </c>
      <c r="P517" s="631"/>
      <c r="Q517" s="631"/>
      <c r="R517" s="631"/>
      <c r="S517" s="631"/>
      <c r="T517" s="631"/>
      <c r="U517" s="637">
        <f>CCBASE!$I$47</f>
        <v>14.41</v>
      </c>
      <c r="V517" s="631"/>
      <c r="W517" s="631"/>
      <c r="X517" s="631"/>
      <c r="Y517" s="631"/>
      <c r="Z517" s="631"/>
      <c r="AA517" s="631"/>
      <c r="AB517" s="631"/>
      <c r="AC517" s="631"/>
      <c r="AD517" s="631"/>
    </row>
    <row r="518" spans="1:30" x14ac:dyDescent="0.2">
      <c r="A518" s="630" t="s">
        <v>764</v>
      </c>
      <c r="B518" s="630">
        <v>1750</v>
      </c>
      <c r="C518" s="630">
        <v>2000</v>
      </c>
      <c r="D518" s="639" t="str">
        <f t="shared" si="179"/>
        <v>CXW-M17502000</v>
      </c>
      <c r="E518" s="1046">
        <f t="shared" si="177"/>
        <v>1434.8524642500001</v>
      </c>
      <c r="F518" s="631">
        <v>16</v>
      </c>
      <c r="G518" s="632">
        <f>F518*CCBASE!$B$51</f>
        <v>576</v>
      </c>
      <c r="H518" s="632"/>
      <c r="I518" s="632"/>
      <c r="J518" s="632"/>
      <c r="K518" s="632">
        <f>CCBASE!$I$25*B518/1000</f>
        <v>802.15541874999997</v>
      </c>
      <c r="L518" s="632"/>
      <c r="M518" s="632"/>
      <c r="N518" s="632">
        <f>(CCBASE!$I$7*B320/1000*C320/1000)*0.45</f>
        <v>24.8395455</v>
      </c>
      <c r="O518" s="632">
        <f>CCBASE!$I$45*B518/1000</f>
        <v>17.447500000000002</v>
      </c>
      <c r="P518" s="631"/>
      <c r="Q518" s="631"/>
      <c r="R518" s="631"/>
      <c r="S518" s="631"/>
      <c r="T518" s="631"/>
      <c r="U518" s="637">
        <f>CCBASE!$I$47</f>
        <v>14.41</v>
      </c>
      <c r="V518" s="631"/>
      <c r="W518" s="631"/>
      <c r="X518" s="631"/>
      <c r="Y518" s="631"/>
      <c r="Z518" s="631"/>
      <c r="AA518" s="631"/>
      <c r="AB518" s="631"/>
      <c r="AC518" s="631"/>
      <c r="AD518" s="631"/>
    </row>
    <row r="519" spans="1:30" x14ac:dyDescent="0.2">
      <c r="A519" s="630" t="s">
        <v>764</v>
      </c>
      <c r="B519" s="630">
        <v>2000</v>
      </c>
      <c r="C519" s="630">
        <v>2000</v>
      </c>
      <c r="D519" s="639" t="str">
        <f t="shared" si="179"/>
        <v>CXW-M20002000</v>
      </c>
      <c r="E519" s="1046">
        <f t="shared" si="177"/>
        <v>1555.487102</v>
      </c>
      <c r="F519" s="631">
        <v>16</v>
      </c>
      <c r="G519" s="632">
        <f>F519*CCBASE!$B$51</f>
        <v>576</v>
      </c>
      <c r="H519" s="632"/>
      <c r="I519" s="632"/>
      <c r="J519" s="632"/>
      <c r="K519" s="632">
        <f>CCBASE!$I$25*B519/1000</f>
        <v>916.7490499999999</v>
      </c>
      <c r="L519" s="632"/>
      <c r="M519" s="632"/>
      <c r="N519" s="632">
        <f>(CCBASE!$I$7*B321/1000*C321/1000)*0.45</f>
        <v>28.388052000000002</v>
      </c>
      <c r="O519" s="632">
        <f>CCBASE!$I$45*B519/1000</f>
        <v>19.940000000000001</v>
      </c>
      <c r="P519" s="631"/>
      <c r="Q519" s="631"/>
      <c r="R519" s="631"/>
      <c r="S519" s="631"/>
      <c r="T519" s="631"/>
      <c r="U519" s="637">
        <f>CCBASE!$I$47</f>
        <v>14.41</v>
      </c>
      <c r="V519" s="631"/>
      <c r="W519" s="631"/>
      <c r="X519" s="631"/>
      <c r="Y519" s="631"/>
      <c r="Z519" s="631"/>
      <c r="AA519" s="631"/>
      <c r="AB519" s="631"/>
      <c r="AC519" s="631"/>
      <c r="AD519" s="631"/>
    </row>
    <row r="520" spans="1:30" x14ac:dyDescent="0.2">
      <c r="A520" s="630" t="s">
        <v>764</v>
      </c>
      <c r="B520" s="630">
        <v>2250</v>
      </c>
      <c r="C520" s="630">
        <v>2000</v>
      </c>
      <c r="D520" s="639" t="str">
        <f t="shared" si="179"/>
        <v>CXW-M22502000</v>
      </c>
      <c r="E520" s="1046">
        <f t="shared" si="177"/>
        <v>1690.5317397499998</v>
      </c>
      <c r="F520" s="631">
        <v>16</v>
      </c>
      <c r="G520" s="632">
        <f>F520*CCBASE!$B$51</f>
        <v>576</v>
      </c>
      <c r="H520" s="632"/>
      <c r="I520" s="632"/>
      <c r="J520" s="632"/>
      <c r="K520" s="632">
        <f>CCBASE!$I$25*B520/1000</f>
        <v>1031.3426812499999</v>
      </c>
      <c r="L520" s="632"/>
      <c r="M520" s="632"/>
      <c r="N520" s="632">
        <f>(CCBASE!$I$7*B322/1000*C322/1000)*0.45</f>
        <v>31.936558500000007</v>
      </c>
      <c r="O520" s="632">
        <f>CCBASE!$I$45*B520/1000</f>
        <v>22.432500000000001</v>
      </c>
      <c r="P520" s="631"/>
      <c r="Q520" s="631"/>
      <c r="R520" s="631"/>
      <c r="S520" s="631"/>
      <c r="T520" s="631"/>
      <c r="U520" s="637">
        <f>CCBASE!$I$47*2</f>
        <v>28.82</v>
      </c>
      <c r="V520" s="631"/>
      <c r="W520" s="631"/>
      <c r="X520" s="631"/>
      <c r="Y520" s="631"/>
      <c r="Z520" s="631"/>
      <c r="AA520" s="631"/>
      <c r="AB520" s="631"/>
      <c r="AC520" s="631"/>
      <c r="AD520" s="631"/>
    </row>
    <row r="521" spans="1:30" x14ac:dyDescent="0.2">
      <c r="A521" s="630" t="s">
        <v>764</v>
      </c>
      <c r="B521" s="630">
        <v>2500</v>
      </c>
      <c r="C521" s="630">
        <v>2000</v>
      </c>
      <c r="D521" s="639" t="str">
        <f t="shared" si="179"/>
        <v>CXW-M25002000</v>
      </c>
      <c r="E521" s="1046">
        <f t="shared" si="177"/>
        <v>1811.1663774999997</v>
      </c>
      <c r="F521" s="631">
        <v>16</v>
      </c>
      <c r="G521" s="632">
        <f>F521*CCBASE!$B$51</f>
        <v>576</v>
      </c>
      <c r="H521" s="632"/>
      <c r="I521" s="632"/>
      <c r="J521" s="632"/>
      <c r="K521" s="632">
        <f>CCBASE!$I$25*B521/1000</f>
        <v>1145.9363124999998</v>
      </c>
      <c r="L521" s="632"/>
      <c r="M521" s="632"/>
      <c r="N521" s="632">
        <f>(CCBASE!$I$7*B323/1000*C323/1000)*0.45</f>
        <v>35.485064999999999</v>
      </c>
      <c r="O521" s="632">
        <f>CCBASE!$I$45*B521/1000</f>
        <v>24.925000000000001</v>
      </c>
      <c r="P521" s="631"/>
      <c r="Q521" s="631"/>
      <c r="R521" s="631"/>
      <c r="S521" s="631"/>
      <c r="T521" s="631"/>
      <c r="U521" s="637">
        <f>CCBASE!$I$47*2</f>
        <v>28.82</v>
      </c>
      <c r="V521" s="631"/>
      <c r="W521" s="631"/>
      <c r="X521" s="631"/>
      <c r="Y521" s="631"/>
      <c r="Z521" s="631"/>
      <c r="AA521" s="631"/>
      <c r="AB521" s="631"/>
      <c r="AC521" s="631"/>
      <c r="AD521" s="631"/>
    </row>
    <row r="522" spans="1:30" x14ac:dyDescent="0.2">
      <c r="A522" s="630" t="s">
        <v>764</v>
      </c>
      <c r="B522" s="630">
        <v>2750</v>
      </c>
      <c r="C522" s="630">
        <v>2000</v>
      </c>
      <c r="D522" s="639" t="str">
        <f t="shared" si="179"/>
        <v>CXW-M27502000</v>
      </c>
      <c r="E522" s="1046">
        <f t="shared" si="177"/>
        <v>1931.8010152499999</v>
      </c>
      <c r="F522" s="631">
        <v>16</v>
      </c>
      <c r="G522" s="632">
        <f>F522*CCBASE!$B$51</f>
        <v>576</v>
      </c>
      <c r="H522" s="632"/>
      <c r="I522" s="632"/>
      <c r="J522" s="632"/>
      <c r="K522" s="632">
        <f>CCBASE!$I$25*B522/1000</f>
        <v>1260.5299437499998</v>
      </c>
      <c r="L522" s="632"/>
      <c r="M522" s="632"/>
      <c r="N522" s="632">
        <f>(CCBASE!$I$7*B324/1000*C324/1000)*0.45</f>
        <v>39.033571500000001</v>
      </c>
      <c r="O522" s="632">
        <f>CCBASE!$I$45*B522/1000</f>
        <v>27.4175</v>
      </c>
      <c r="P522" s="631"/>
      <c r="Q522" s="631"/>
      <c r="R522" s="631"/>
      <c r="S522" s="631"/>
      <c r="T522" s="631"/>
      <c r="U522" s="637">
        <f>CCBASE!$I$47*2</f>
        <v>28.82</v>
      </c>
      <c r="V522" s="631"/>
      <c r="W522" s="631"/>
      <c r="X522" s="631"/>
      <c r="Y522" s="631"/>
      <c r="Z522" s="631"/>
      <c r="AA522" s="631"/>
      <c r="AB522" s="631"/>
      <c r="AC522" s="631"/>
      <c r="AD522" s="631"/>
    </row>
    <row r="523" spans="1:30" x14ac:dyDescent="0.2">
      <c r="A523" s="630" t="s">
        <v>764</v>
      </c>
      <c r="B523" s="630">
        <v>3000</v>
      </c>
      <c r="C523" s="630">
        <v>2000</v>
      </c>
      <c r="D523" s="639" t="str">
        <f t="shared" si="179"/>
        <v>CXW-M30002000</v>
      </c>
      <c r="E523" s="1046">
        <f t="shared" si="177"/>
        <v>2052.435653</v>
      </c>
      <c r="F523" s="631">
        <v>16</v>
      </c>
      <c r="G523" s="632">
        <f>F523*CCBASE!$B$51</f>
        <v>576</v>
      </c>
      <c r="H523" s="632"/>
      <c r="I523" s="632"/>
      <c r="J523" s="632"/>
      <c r="K523" s="632">
        <f>CCBASE!$I$25*B523/1000</f>
        <v>1375.1235749999998</v>
      </c>
      <c r="L523" s="632"/>
      <c r="M523" s="632"/>
      <c r="N523" s="632">
        <f>(CCBASE!$I$7*B325/1000*C325/1000)*0.45</f>
        <v>42.58207800000001</v>
      </c>
      <c r="O523" s="632">
        <f>CCBASE!$I$45*B523/1000</f>
        <v>29.910000000000004</v>
      </c>
      <c r="P523" s="631"/>
      <c r="Q523" s="631"/>
      <c r="R523" s="631"/>
      <c r="S523" s="631"/>
      <c r="T523" s="631"/>
      <c r="U523" s="637">
        <f>CCBASE!$I$47*2</f>
        <v>28.82</v>
      </c>
      <c r="V523" s="631"/>
      <c r="W523" s="631"/>
      <c r="X523" s="631"/>
      <c r="Y523" s="631"/>
      <c r="Z523" s="631"/>
      <c r="AA523" s="631"/>
      <c r="AB523" s="631"/>
      <c r="AC523" s="631"/>
      <c r="AD523" s="631"/>
    </row>
    <row r="524" spans="1:30" x14ac:dyDescent="0.2">
      <c r="A524" s="630" t="s">
        <v>343</v>
      </c>
      <c r="B524" s="630">
        <v>1000</v>
      </c>
      <c r="C524" s="630">
        <v>1000</v>
      </c>
      <c r="D524" s="639" t="str">
        <f t="shared" si="179"/>
        <v>KVV10001000</v>
      </c>
      <c r="E524" s="1046">
        <f t="shared" si="177"/>
        <v>626.15295000000003</v>
      </c>
      <c r="F524" s="631">
        <v>10</v>
      </c>
      <c r="G524" s="632">
        <f>F524*CCBASE!$B$51</f>
        <v>360</v>
      </c>
      <c r="H524" s="632"/>
      <c r="I524" s="632"/>
      <c r="J524" s="632">
        <f>CCBASE!$I$26*B524/1000</f>
        <v>266.15295000000003</v>
      </c>
      <c r="K524" s="632"/>
      <c r="L524" s="632"/>
      <c r="M524" s="632"/>
      <c r="N524" s="632"/>
      <c r="O524" s="632"/>
      <c r="P524" s="631"/>
      <c r="Q524" s="631"/>
      <c r="R524" s="631"/>
      <c r="S524" s="631"/>
      <c r="T524" s="631"/>
      <c r="U524" s="631"/>
      <c r="V524" s="631"/>
      <c r="W524" s="631"/>
      <c r="X524" s="631"/>
      <c r="Y524" s="631"/>
      <c r="Z524" s="631"/>
      <c r="AA524" s="631"/>
      <c r="AB524" s="631"/>
      <c r="AC524" s="631"/>
      <c r="AD524" s="631"/>
    </row>
    <row r="525" spans="1:30" x14ac:dyDescent="0.2">
      <c r="A525" s="630" t="s">
        <v>343</v>
      </c>
      <c r="B525" s="630">
        <v>1250</v>
      </c>
      <c r="C525" s="630">
        <v>1000</v>
      </c>
      <c r="D525" s="639" t="str">
        <f t="shared" si="179"/>
        <v>KVV12501000</v>
      </c>
      <c r="E525" s="1046">
        <f t="shared" si="177"/>
        <v>692.69118750000007</v>
      </c>
      <c r="F525" s="631">
        <v>10</v>
      </c>
      <c r="G525" s="632">
        <f>F525*CCBASE!$B$51</f>
        <v>360</v>
      </c>
      <c r="H525" s="632"/>
      <c r="I525" s="632"/>
      <c r="J525" s="632">
        <f>CCBASE!$I$26*B525/1000</f>
        <v>332.69118750000007</v>
      </c>
      <c r="K525" s="632"/>
      <c r="L525" s="632"/>
      <c r="M525" s="632"/>
      <c r="N525" s="632"/>
      <c r="O525" s="632"/>
      <c r="P525" s="631"/>
      <c r="Q525" s="631"/>
      <c r="R525" s="631"/>
      <c r="S525" s="631"/>
      <c r="T525" s="631"/>
      <c r="U525" s="631"/>
      <c r="V525" s="631"/>
      <c r="W525" s="631"/>
      <c r="X525" s="631"/>
      <c r="Y525" s="631"/>
      <c r="Z525" s="631"/>
      <c r="AA525" s="631"/>
      <c r="AB525" s="631"/>
      <c r="AC525" s="631"/>
      <c r="AD525" s="631"/>
    </row>
    <row r="526" spans="1:30" x14ac:dyDescent="0.2">
      <c r="A526" s="630" t="s">
        <v>343</v>
      </c>
      <c r="B526" s="630">
        <v>1500</v>
      </c>
      <c r="C526" s="630">
        <v>1000</v>
      </c>
      <c r="D526" s="639" t="str">
        <f t="shared" si="179"/>
        <v>KVV15001000</v>
      </c>
      <c r="E526" s="1046">
        <f t="shared" si="177"/>
        <v>759.22942499999999</v>
      </c>
      <c r="F526" s="631">
        <v>10</v>
      </c>
      <c r="G526" s="632">
        <f>F526*CCBASE!$B$51</f>
        <v>360</v>
      </c>
      <c r="H526" s="632"/>
      <c r="I526" s="632"/>
      <c r="J526" s="632">
        <f>CCBASE!$I$26*B526/1000</f>
        <v>399.22942500000005</v>
      </c>
      <c r="K526" s="632"/>
      <c r="L526" s="632"/>
      <c r="M526" s="632"/>
      <c r="N526" s="632"/>
      <c r="O526" s="632"/>
      <c r="P526" s="631"/>
      <c r="Q526" s="631"/>
      <c r="R526" s="631"/>
      <c r="S526" s="631"/>
      <c r="T526" s="631"/>
      <c r="U526" s="631"/>
      <c r="V526" s="631"/>
      <c r="W526" s="631"/>
      <c r="X526" s="631"/>
      <c r="Y526" s="631"/>
      <c r="Z526" s="631"/>
      <c r="AA526" s="631"/>
      <c r="AB526" s="631"/>
      <c r="AC526" s="631"/>
      <c r="AD526" s="631"/>
    </row>
    <row r="527" spans="1:30" x14ac:dyDescent="0.2">
      <c r="A527" s="630" t="s">
        <v>343</v>
      </c>
      <c r="B527" s="630">
        <v>1750</v>
      </c>
      <c r="C527" s="630">
        <v>1000</v>
      </c>
      <c r="D527" s="639" t="str">
        <f t="shared" si="179"/>
        <v>KVV17501000</v>
      </c>
      <c r="E527" s="1046">
        <f t="shared" si="177"/>
        <v>897.76766250000003</v>
      </c>
      <c r="F527" s="631">
        <v>12</v>
      </c>
      <c r="G527" s="632">
        <f>F527*CCBASE!$B$51</f>
        <v>432</v>
      </c>
      <c r="H527" s="632"/>
      <c r="I527" s="632"/>
      <c r="J527" s="632">
        <f>CCBASE!$I$26*B527/1000</f>
        <v>465.76766250000003</v>
      </c>
      <c r="K527" s="632"/>
      <c r="L527" s="632"/>
      <c r="M527" s="632"/>
      <c r="N527" s="632"/>
      <c r="O527" s="632"/>
      <c r="P527" s="631"/>
      <c r="Q527" s="631"/>
      <c r="R527" s="631"/>
      <c r="S527" s="631"/>
      <c r="T527" s="631"/>
      <c r="U527" s="631"/>
      <c r="V527" s="631"/>
      <c r="W527" s="631"/>
      <c r="X527" s="631"/>
      <c r="Y527" s="631"/>
      <c r="Z527" s="631"/>
      <c r="AA527" s="631"/>
      <c r="AB527" s="631"/>
      <c r="AC527" s="631"/>
      <c r="AD527" s="631"/>
    </row>
    <row r="528" spans="1:30" x14ac:dyDescent="0.2">
      <c r="A528" s="630" t="s">
        <v>343</v>
      </c>
      <c r="B528" s="630">
        <v>2000</v>
      </c>
      <c r="C528" s="630">
        <v>1000</v>
      </c>
      <c r="D528" s="639" t="str">
        <f t="shared" si="179"/>
        <v>KVV20001000</v>
      </c>
      <c r="E528" s="1046">
        <f t="shared" si="177"/>
        <v>964.30590000000007</v>
      </c>
      <c r="F528" s="631">
        <v>12</v>
      </c>
      <c r="G528" s="632">
        <f>F528*CCBASE!$B$51</f>
        <v>432</v>
      </c>
      <c r="H528" s="632"/>
      <c r="I528" s="632"/>
      <c r="J528" s="632">
        <f>CCBASE!$I$26*B528/1000</f>
        <v>532.30590000000007</v>
      </c>
      <c r="K528" s="632"/>
      <c r="L528" s="632"/>
      <c r="M528" s="632"/>
      <c r="N528" s="632"/>
      <c r="O528" s="632"/>
      <c r="P528" s="631"/>
      <c r="Q528" s="631"/>
      <c r="R528" s="631"/>
      <c r="S528" s="631"/>
      <c r="T528" s="631"/>
      <c r="U528" s="631"/>
      <c r="V528" s="631"/>
      <c r="W528" s="631"/>
      <c r="X528" s="631"/>
      <c r="Y528" s="631"/>
      <c r="Z528" s="631"/>
      <c r="AA528" s="631"/>
      <c r="AB528" s="631"/>
      <c r="AC528" s="631"/>
      <c r="AD528" s="631"/>
    </row>
    <row r="529" spans="1:30" x14ac:dyDescent="0.2">
      <c r="A529" s="630" t="s">
        <v>343</v>
      </c>
      <c r="B529" s="630">
        <v>2250</v>
      </c>
      <c r="C529" s="630">
        <v>1000</v>
      </c>
      <c r="D529" s="639" t="str">
        <f t="shared" si="179"/>
        <v>KVV22501000</v>
      </c>
      <c r="E529" s="1046">
        <f t="shared" si="177"/>
        <v>1030.8441375000002</v>
      </c>
      <c r="F529" s="631">
        <v>12</v>
      </c>
      <c r="G529" s="632">
        <f>F529*CCBASE!$B$51</f>
        <v>432</v>
      </c>
      <c r="H529" s="632"/>
      <c r="I529" s="632"/>
      <c r="J529" s="632">
        <f>CCBASE!$I$26*B529/1000</f>
        <v>598.8441375000001</v>
      </c>
      <c r="K529" s="632"/>
      <c r="L529" s="632"/>
      <c r="M529" s="632"/>
      <c r="N529" s="632"/>
      <c r="O529" s="632"/>
      <c r="P529" s="631"/>
      <c r="Q529" s="631"/>
      <c r="R529" s="631"/>
      <c r="S529" s="631"/>
      <c r="T529" s="631"/>
      <c r="U529" s="631"/>
      <c r="V529" s="631"/>
      <c r="W529" s="631"/>
      <c r="X529" s="631"/>
      <c r="Y529" s="631"/>
      <c r="Z529" s="631"/>
      <c r="AA529" s="631"/>
      <c r="AB529" s="631"/>
      <c r="AC529" s="631"/>
      <c r="AD529" s="631"/>
    </row>
    <row r="530" spans="1:30" x14ac:dyDescent="0.2">
      <c r="A530" s="630" t="s">
        <v>343</v>
      </c>
      <c r="B530" s="630">
        <v>2500</v>
      </c>
      <c r="C530" s="630">
        <v>1000</v>
      </c>
      <c r="D530" s="639" t="str">
        <f t="shared" si="179"/>
        <v>KVV25001000</v>
      </c>
      <c r="E530" s="1046">
        <f t="shared" si="177"/>
        <v>1205.3823750000001</v>
      </c>
      <c r="F530" s="631">
        <v>15</v>
      </c>
      <c r="G530" s="632">
        <f>F530*CCBASE!$B$51</f>
        <v>540</v>
      </c>
      <c r="H530" s="632"/>
      <c r="I530" s="632"/>
      <c r="J530" s="632">
        <f>CCBASE!$I$26*B530/1000</f>
        <v>665.38237500000014</v>
      </c>
      <c r="K530" s="632"/>
      <c r="L530" s="632"/>
      <c r="M530" s="632"/>
      <c r="N530" s="632"/>
      <c r="O530" s="632"/>
      <c r="P530" s="631"/>
      <c r="Q530" s="631"/>
      <c r="R530" s="631"/>
      <c r="S530" s="631"/>
      <c r="T530" s="631"/>
      <c r="U530" s="631"/>
      <c r="V530" s="631"/>
      <c r="W530" s="631"/>
      <c r="X530" s="631"/>
      <c r="Y530" s="631"/>
      <c r="Z530" s="631"/>
      <c r="AA530" s="631"/>
      <c r="AB530" s="631"/>
      <c r="AC530" s="631"/>
      <c r="AD530" s="631"/>
    </row>
    <row r="531" spans="1:30" x14ac:dyDescent="0.2">
      <c r="A531" s="630" t="s">
        <v>343</v>
      </c>
      <c r="B531" s="630">
        <v>2750</v>
      </c>
      <c r="C531" s="630">
        <v>1000</v>
      </c>
      <c r="D531" s="639" t="str">
        <f t="shared" si="179"/>
        <v>KVV27501000</v>
      </c>
      <c r="E531" s="1046">
        <f t="shared" si="177"/>
        <v>1271.9206125000001</v>
      </c>
      <c r="F531" s="631">
        <v>15</v>
      </c>
      <c r="G531" s="632">
        <f>F531*CCBASE!$B$51</f>
        <v>540</v>
      </c>
      <c r="H531" s="632"/>
      <c r="I531" s="632"/>
      <c r="J531" s="632">
        <f>CCBASE!$I$26*B531/1000</f>
        <v>731.92061250000006</v>
      </c>
      <c r="K531" s="632"/>
      <c r="L531" s="632"/>
      <c r="M531" s="632"/>
      <c r="N531" s="632"/>
      <c r="O531" s="632"/>
      <c r="P531" s="631"/>
      <c r="Q531" s="631"/>
      <c r="R531" s="631"/>
      <c r="S531" s="631"/>
      <c r="T531" s="631"/>
      <c r="U531" s="631"/>
      <c r="V531" s="631"/>
      <c r="W531" s="631"/>
      <c r="X531" s="631"/>
      <c r="Y531" s="631"/>
      <c r="Z531" s="631"/>
      <c r="AA531" s="631"/>
      <c r="AB531" s="631"/>
      <c r="AC531" s="631"/>
      <c r="AD531" s="631"/>
    </row>
    <row r="532" spans="1:30" x14ac:dyDescent="0.2">
      <c r="A532" s="630" t="s">
        <v>343</v>
      </c>
      <c r="B532" s="630">
        <v>3000</v>
      </c>
      <c r="C532" s="630">
        <v>1000</v>
      </c>
      <c r="D532" s="639" t="str">
        <f t="shared" si="179"/>
        <v>KVV30001000</v>
      </c>
      <c r="E532" s="1046">
        <f t="shared" si="177"/>
        <v>1338.45885</v>
      </c>
      <c r="F532" s="631">
        <v>15</v>
      </c>
      <c r="G532" s="632">
        <f>F532*CCBASE!$B$51</f>
        <v>540</v>
      </c>
      <c r="H532" s="632"/>
      <c r="I532" s="632"/>
      <c r="J532" s="632">
        <f>CCBASE!$I$26*B532/1000</f>
        <v>798.4588500000001</v>
      </c>
      <c r="K532" s="632"/>
      <c r="L532" s="632"/>
      <c r="M532" s="632"/>
      <c r="N532" s="632"/>
      <c r="O532" s="632"/>
      <c r="P532" s="631"/>
      <c r="Q532" s="631"/>
      <c r="R532" s="631"/>
      <c r="S532" s="631"/>
      <c r="T532" s="631"/>
      <c r="U532" s="631"/>
      <c r="V532" s="631"/>
      <c r="W532" s="631"/>
      <c r="X532" s="631"/>
      <c r="Y532" s="631"/>
      <c r="Z532" s="631"/>
      <c r="AA532" s="631"/>
      <c r="AB532" s="631"/>
      <c r="AC532" s="631"/>
      <c r="AD532" s="631"/>
    </row>
    <row r="533" spans="1:30" x14ac:dyDescent="0.2">
      <c r="A533" s="630" t="s">
        <v>343</v>
      </c>
      <c r="B533" s="630">
        <v>1000</v>
      </c>
      <c r="C533" s="630">
        <v>1250</v>
      </c>
      <c r="D533" s="639" t="str">
        <f t="shared" si="179"/>
        <v>KVV10001250</v>
      </c>
      <c r="E533" s="1046">
        <f t="shared" ref="E533:E596" si="180">SUM(G533:AD533)</f>
        <v>691.21255999999994</v>
      </c>
      <c r="F533" s="631">
        <v>10</v>
      </c>
      <c r="G533" s="632">
        <f>F533*CCBASE!$B$51</f>
        <v>360</v>
      </c>
      <c r="H533" s="632"/>
      <c r="I533" s="632"/>
      <c r="J533" s="632">
        <f>CCBASE!$I$27*B533/1000</f>
        <v>331.21256</v>
      </c>
      <c r="K533" s="632"/>
      <c r="L533" s="632"/>
      <c r="M533" s="632"/>
      <c r="N533" s="632"/>
      <c r="O533" s="632"/>
      <c r="P533" s="631"/>
      <c r="Q533" s="631"/>
      <c r="R533" s="631"/>
      <c r="S533" s="631"/>
      <c r="T533" s="631"/>
      <c r="U533" s="631"/>
      <c r="V533" s="631"/>
      <c r="W533" s="631"/>
      <c r="X533" s="631"/>
      <c r="Y533" s="631"/>
      <c r="Z533" s="631"/>
      <c r="AA533" s="631"/>
      <c r="AB533" s="631"/>
      <c r="AC533" s="631"/>
      <c r="AD533" s="631"/>
    </row>
    <row r="534" spans="1:30" x14ac:dyDescent="0.2">
      <c r="A534" s="630" t="s">
        <v>343</v>
      </c>
      <c r="B534" s="630">
        <v>1250</v>
      </c>
      <c r="C534" s="630">
        <v>1250</v>
      </c>
      <c r="D534" s="639" t="str">
        <f t="shared" si="179"/>
        <v>KVV12501250</v>
      </c>
      <c r="E534" s="1046">
        <f t="shared" si="180"/>
        <v>774.01570000000004</v>
      </c>
      <c r="F534" s="631">
        <v>10</v>
      </c>
      <c r="G534" s="632">
        <f>F534*CCBASE!$B$51</f>
        <v>360</v>
      </c>
      <c r="H534" s="632"/>
      <c r="I534" s="632"/>
      <c r="J534" s="632">
        <f>CCBASE!$I$27*B534/1000</f>
        <v>414.01570000000004</v>
      </c>
      <c r="K534" s="632"/>
      <c r="L534" s="632"/>
      <c r="M534" s="632"/>
      <c r="N534" s="632"/>
      <c r="O534" s="632"/>
      <c r="P534" s="631"/>
      <c r="Q534" s="631"/>
      <c r="R534" s="631"/>
      <c r="S534" s="631"/>
      <c r="T534" s="631"/>
      <c r="U534" s="631"/>
      <c r="V534" s="631"/>
      <c r="W534" s="631"/>
      <c r="X534" s="631"/>
      <c r="Y534" s="631"/>
      <c r="Z534" s="631"/>
      <c r="AA534" s="631"/>
      <c r="AB534" s="631"/>
      <c r="AC534" s="631"/>
      <c r="AD534" s="631"/>
    </row>
    <row r="535" spans="1:30" x14ac:dyDescent="0.2">
      <c r="A535" s="630" t="s">
        <v>343</v>
      </c>
      <c r="B535" s="630">
        <v>1500</v>
      </c>
      <c r="C535" s="630">
        <v>1250</v>
      </c>
      <c r="D535" s="639" t="str">
        <f t="shared" si="179"/>
        <v>KVV15001250</v>
      </c>
      <c r="E535" s="1046">
        <f t="shared" si="180"/>
        <v>856.81883999999991</v>
      </c>
      <c r="F535" s="631">
        <v>10</v>
      </c>
      <c r="G535" s="632">
        <f>F535*CCBASE!$B$51</f>
        <v>360</v>
      </c>
      <c r="H535" s="632"/>
      <c r="I535" s="632"/>
      <c r="J535" s="632">
        <f>CCBASE!$I$27*B535/1000</f>
        <v>496.81883999999997</v>
      </c>
      <c r="K535" s="632"/>
      <c r="L535" s="632"/>
      <c r="M535" s="632"/>
      <c r="N535" s="632"/>
      <c r="O535" s="632"/>
      <c r="P535" s="631"/>
      <c r="Q535" s="631"/>
      <c r="R535" s="631"/>
      <c r="S535" s="631"/>
      <c r="T535" s="631"/>
      <c r="U535" s="631"/>
      <c r="V535" s="631"/>
      <c r="W535" s="631"/>
      <c r="X535" s="631"/>
      <c r="Y535" s="631"/>
      <c r="Z535" s="631"/>
      <c r="AA535" s="631"/>
      <c r="AB535" s="631"/>
      <c r="AC535" s="631"/>
      <c r="AD535" s="631"/>
    </row>
    <row r="536" spans="1:30" x14ac:dyDescent="0.2">
      <c r="A536" s="630" t="s">
        <v>343</v>
      </c>
      <c r="B536" s="630">
        <v>1750</v>
      </c>
      <c r="C536" s="630">
        <v>1250</v>
      </c>
      <c r="D536" s="639" t="str">
        <f t="shared" si="179"/>
        <v>KVV17501250</v>
      </c>
      <c r="E536" s="1046">
        <f t="shared" si="180"/>
        <v>1011.62198</v>
      </c>
      <c r="F536" s="631">
        <v>12</v>
      </c>
      <c r="G536" s="632">
        <f>F536*CCBASE!$B$51</f>
        <v>432</v>
      </c>
      <c r="H536" s="632"/>
      <c r="I536" s="632"/>
      <c r="J536" s="632">
        <f>CCBASE!$I$27*B536/1000</f>
        <v>579.62198000000001</v>
      </c>
      <c r="K536" s="632"/>
      <c r="L536" s="632"/>
      <c r="M536" s="632"/>
      <c r="N536" s="632"/>
      <c r="O536" s="632"/>
      <c r="P536" s="631"/>
      <c r="Q536" s="631"/>
      <c r="R536" s="631"/>
      <c r="S536" s="631"/>
      <c r="T536" s="631"/>
      <c r="U536" s="631"/>
      <c r="V536" s="631"/>
      <c r="W536" s="631"/>
      <c r="X536" s="631"/>
      <c r="Y536" s="631"/>
      <c r="Z536" s="631"/>
      <c r="AA536" s="631"/>
      <c r="AB536" s="631"/>
      <c r="AC536" s="631"/>
      <c r="AD536" s="631"/>
    </row>
    <row r="537" spans="1:30" x14ac:dyDescent="0.2">
      <c r="A537" s="630" t="s">
        <v>343</v>
      </c>
      <c r="B537" s="630">
        <v>2000</v>
      </c>
      <c r="C537" s="630">
        <v>1250</v>
      </c>
      <c r="D537" s="639" t="str">
        <f t="shared" si="179"/>
        <v>KVV20001250</v>
      </c>
      <c r="E537" s="1046">
        <f t="shared" si="180"/>
        <v>1094.4251199999999</v>
      </c>
      <c r="F537" s="631">
        <v>12</v>
      </c>
      <c r="G537" s="632">
        <f>F537*CCBASE!$B$51</f>
        <v>432</v>
      </c>
      <c r="H537" s="632"/>
      <c r="I537" s="632"/>
      <c r="J537" s="632">
        <f>CCBASE!$I$27*B537/1000</f>
        <v>662.42511999999999</v>
      </c>
      <c r="K537" s="632"/>
      <c r="L537" s="632"/>
      <c r="M537" s="632"/>
      <c r="N537" s="632"/>
      <c r="O537" s="632"/>
      <c r="P537" s="631"/>
      <c r="Q537" s="631"/>
      <c r="R537" s="631"/>
      <c r="S537" s="631"/>
      <c r="T537" s="631"/>
      <c r="U537" s="631"/>
      <c r="V537" s="631"/>
      <c r="W537" s="631"/>
      <c r="X537" s="631"/>
      <c r="Y537" s="631"/>
      <c r="Z537" s="631"/>
      <c r="AA537" s="631"/>
      <c r="AB537" s="631"/>
      <c r="AC537" s="631"/>
      <c r="AD537" s="631"/>
    </row>
    <row r="538" spans="1:30" x14ac:dyDescent="0.2">
      <c r="A538" s="630" t="s">
        <v>343</v>
      </c>
      <c r="B538" s="630">
        <v>2250</v>
      </c>
      <c r="C538" s="630">
        <v>1250</v>
      </c>
      <c r="D538" s="639" t="str">
        <f t="shared" si="179"/>
        <v>KVV22501250</v>
      </c>
      <c r="E538" s="1046">
        <f t="shared" si="180"/>
        <v>1177.2282599999999</v>
      </c>
      <c r="F538" s="631">
        <v>12</v>
      </c>
      <c r="G538" s="632">
        <f>F538*CCBASE!$B$51</f>
        <v>432</v>
      </c>
      <c r="H538" s="632"/>
      <c r="I538" s="632"/>
      <c r="J538" s="632">
        <f>CCBASE!$I$27*B538/1000</f>
        <v>745.22825999999998</v>
      </c>
      <c r="K538" s="632"/>
      <c r="L538" s="632"/>
      <c r="M538" s="632"/>
      <c r="N538" s="632"/>
      <c r="O538" s="632"/>
      <c r="P538" s="631"/>
      <c r="Q538" s="631"/>
      <c r="R538" s="631"/>
      <c r="S538" s="631"/>
      <c r="T538" s="631"/>
      <c r="U538" s="631"/>
      <c r="V538" s="631"/>
      <c r="W538" s="631"/>
      <c r="X538" s="631"/>
      <c r="Y538" s="631"/>
      <c r="Z538" s="631"/>
      <c r="AA538" s="631"/>
      <c r="AB538" s="631"/>
      <c r="AC538" s="631"/>
      <c r="AD538" s="631"/>
    </row>
    <row r="539" spans="1:30" x14ac:dyDescent="0.2">
      <c r="A539" s="630" t="s">
        <v>343</v>
      </c>
      <c r="B539" s="630">
        <v>2500</v>
      </c>
      <c r="C539" s="630">
        <v>1250</v>
      </c>
      <c r="D539" s="639" t="str">
        <f t="shared" si="179"/>
        <v>KVV25001250</v>
      </c>
      <c r="E539" s="1046">
        <f t="shared" si="180"/>
        <v>1368.0314000000001</v>
      </c>
      <c r="F539" s="631">
        <v>15</v>
      </c>
      <c r="G539" s="632">
        <f>F539*CCBASE!$B$51</f>
        <v>540</v>
      </c>
      <c r="H539" s="632"/>
      <c r="I539" s="632"/>
      <c r="J539" s="632">
        <f>CCBASE!$I$27*B539/1000</f>
        <v>828.03140000000008</v>
      </c>
      <c r="K539" s="632"/>
      <c r="L539" s="632"/>
      <c r="M539" s="632"/>
      <c r="N539" s="632"/>
      <c r="O539" s="632"/>
      <c r="P539" s="631"/>
      <c r="Q539" s="631"/>
      <c r="R539" s="631"/>
      <c r="S539" s="631"/>
      <c r="T539" s="631"/>
      <c r="U539" s="631"/>
      <c r="V539" s="631"/>
      <c r="W539" s="631"/>
      <c r="X539" s="631"/>
      <c r="Y539" s="631"/>
      <c r="Z539" s="631"/>
      <c r="AA539" s="631"/>
      <c r="AB539" s="631"/>
      <c r="AC539" s="631"/>
      <c r="AD539" s="631"/>
    </row>
    <row r="540" spans="1:30" x14ac:dyDescent="0.2">
      <c r="A540" s="630" t="s">
        <v>343</v>
      </c>
      <c r="B540" s="630">
        <v>2750</v>
      </c>
      <c r="C540" s="630">
        <v>1250</v>
      </c>
      <c r="D540" s="639" t="str">
        <f t="shared" si="179"/>
        <v>KVV27501250</v>
      </c>
      <c r="E540" s="1046">
        <f t="shared" si="180"/>
        <v>1450.8345400000001</v>
      </c>
      <c r="F540" s="631">
        <v>15</v>
      </c>
      <c r="G540" s="632">
        <f>F540*CCBASE!$B$51</f>
        <v>540</v>
      </c>
      <c r="H540" s="632"/>
      <c r="I540" s="632"/>
      <c r="J540" s="632">
        <f>CCBASE!$I$27*B540/1000</f>
        <v>910.83454000000006</v>
      </c>
      <c r="K540" s="632"/>
      <c r="L540" s="632"/>
      <c r="M540" s="632"/>
      <c r="N540" s="632"/>
      <c r="O540" s="632"/>
      <c r="P540" s="631"/>
      <c r="Q540" s="631"/>
      <c r="R540" s="631"/>
      <c r="S540" s="631"/>
      <c r="T540" s="631"/>
      <c r="U540" s="631"/>
      <c r="V540" s="631"/>
      <c r="W540" s="631"/>
      <c r="X540" s="631"/>
      <c r="Y540" s="631"/>
      <c r="Z540" s="631"/>
      <c r="AA540" s="631"/>
      <c r="AB540" s="631"/>
      <c r="AC540" s="631"/>
      <c r="AD540" s="631"/>
    </row>
    <row r="541" spans="1:30" x14ac:dyDescent="0.2">
      <c r="A541" s="630" t="s">
        <v>343</v>
      </c>
      <c r="B541" s="630">
        <v>3000</v>
      </c>
      <c r="C541" s="630">
        <v>1250</v>
      </c>
      <c r="D541" s="639" t="str">
        <f t="shared" si="179"/>
        <v>KVV30001250</v>
      </c>
      <c r="E541" s="1046">
        <f t="shared" si="180"/>
        <v>1533.6376799999998</v>
      </c>
      <c r="F541" s="631">
        <v>15</v>
      </c>
      <c r="G541" s="632">
        <f>F541*CCBASE!$B$51</f>
        <v>540</v>
      </c>
      <c r="H541" s="632"/>
      <c r="I541" s="632"/>
      <c r="J541" s="632">
        <f>CCBASE!$I$27*B541/1000</f>
        <v>993.63767999999993</v>
      </c>
      <c r="K541" s="632"/>
      <c r="L541" s="632"/>
      <c r="M541" s="632"/>
      <c r="N541" s="632"/>
      <c r="O541" s="632"/>
      <c r="P541" s="631"/>
      <c r="Q541" s="631"/>
      <c r="R541" s="631"/>
      <c r="S541" s="631"/>
      <c r="T541" s="631"/>
      <c r="U541" s="631"/>
      <c r="V541" s="631"/>
      <c r="W541" s="631"/>
      <c r="X541" s="631"/>
      <c r="Y541" s="631"/>
      <c r="Z541" s="631"/>
      <c r="AA541" s="631"/>
      <c r="AB541" s="631"/>
      <c r="AC541" s="631"/>
      <c r="AD541" s="631"/>
    </row>
    <row r="542" spans="1:30" x14ac:dyDescent="0.2">
      <c r="A542" s="630" t="s">
        <v>343</v>
      </c>
      <c r="B542" s="630">
        <v>1000</v>
      </c>
      <c r="C542" s="630">
        <v>1500</v>
      </c>
      <c r="D542" s="639" t="str">
        <f t="shared" si="179"/>
        <v>KVV10001500</v>
      </c>
      <c r="E542" s="1046">
        <f t="shared" si="180"/>
        <v>759.22942499999999</v>
      </c>
      <c r="F542" s="631">
        <v>10</v>
      </c>
      <c r="G542" s="632">
        <f>F542*CCBASE!$B$51</f>
        <v>360</v>
      </c>
      <c r="H542" s="632"/>
      <c r="I542" s="632"/>
      <c r="J542" s="632">
        <f>CCBASE!$I$28*B542/1000</f>
        <v>399.22942499999999</v>
      </c>
      <c r="K542" s="632"/>
      <c r="L542" s="632"/>
      <c r="M542" s="632"/>
      <c r="N542" s="632"/>
      <c r="O542" s="632"/>
      <c r="P542" s="631"/>
      <c r="Q542" s="631"/>
      <c r="R542" s="631"/>
      <c r="S542" s="631"/>
      <c r="T542" s="631"/>
      <c r="U542" s="631"/>
      <c r="V542" s="631"/>
      <c r="W542" s="631"/>
      <c r="X542" s="631"/>
      <c r="Y542" s="631"/>
      <c r="Z542" s="631"/>
      <c r="AA542" s="631"/>
      <c r="AB542" s="631"/>
      <c r="AC542" s="631"/>
      <c r="AD542" s="631"/>
    </row>
    <row r="543" spans="1:30" x14ac:dyDescent="0.2">
      <c r="A543" s="630" t="s">
        <v>343</v>
      </c>
      <c r="B543" s="630">
        <v>1250</v>
      </c>
      <c r="C543" s="630">
        <v>1500</v>
      </c>
      <c r="D543" s="639" t="str">
        <f t="shared" si="179"/>
        <v>KVV12501500</v>
      </c>
      <c r="E543" s="1046">
        <f t="shared" si="180"/>
        <v>859.03678124999999</v>
      </c>
      <c r="F543" s="631">
        <v>10</v>
      </c>
      <c r="G543" s="632">
        <f>F543*CCBASE!$B$51</f>
        <v>360</v>
      </c>
      <c r="H543" s="632"/>
      <c r="I543" s="632"/>
      <c r="J543" s="632">
        <f>CCBASE!$I$28*B543/1000</f>
        <v>499.03678124999999</v>
      </c>
      <c r="K543" s="632"/>
      <c r="L543" s="632"/>
      <c r="M543" s="632"/>
      <c r="N543" s="632"/>
      <c r="O543" s="632"/>
      <c r="P543" s="631"/>
      <c r="Q543" s="631"/>
      <c r="R543" s="631"/>
      <c r="S543" s="631"/>
      <c r="T543" s="631"/>
      <c r="U543" s="631"/>
      <c r="V543" s="631"/>
      <c r="W543" s="631"/>
      <c r="X543" s="631"/>
      <c r="Y543" s="631"/>
      <c r="Z543" s="631"/>
      <c r="AA543" s="631"/>
      <c r="AB543" s="631"/>
      <c r="AC543" s="631"/>
      <c r="AD543" s="631"/>
    </row>
    <row r="544" spans="1:30" x14ac:dyDescent="0.2">
      <c r="A544" s="630" t="s">
        <v>343</v>
      </c>
      <c r="B544" s="630">
        <v>1500</v>
      </c>
      <c r="C544" s="630">
        <v>1500</v>
      </c>
      <c r="D544" s="639" t="str">
        <f t="shared" si="179"/>
        <v>KVV15001500</v>
      </c>
      <c r="E544" s="1046">
        <f t="shared" si="180"/>
        <v>958.84413749999999</v>
      </c>
      <c r="F544" s="631">
        <v>10</v>
      </c>
      <c r="G544" s="632">
        <f>F544*CCBASE!$B$51</f>
        <v>360</v>
      </c>
      <c r="H544" s="632"/>
      <c r="I544" s="632"/>
      <c r="J544" s="632">
        <f>CCBASE!$I$28*B544/1000</f>
        <v>598.84413749999999</v>
      </c>
      <c r="K544" s="632"/>
      <c r="L544" s="632"/>
      <c r="M544" s="632"/>
      <c r="N544" s="632"/>
      <c r="O544" s="632"/>
      <c r="P544" s="631"/>
      <c r="Q544" s="631"/>
      <c r="R544" s="631"/>
      <c r="S544" s="631"/>
      <c r="T544" s="631"/>
      <c r="U544" s="631"/>
      <c r="V544" s="631"/>
      <c r="W544" s="631"/>
      <c r="X544" s="631"/>
      <c r="Y544" s="631"/>
      <c r="Z544" s="631"/>
      <c r="AA544" s="631"/>
      <c r="AB544" s="631"/>
      <c r="AC544" s="631"/>
      <c r="AD544" s="631"/>
    </row>
    <row r="545" spans="1:30" x14ac:dyDescent="0.2">
      <c r="A545" s="630" t="s">
        <v>343</v>
      </c>
      <c r="B545" s="630">
        <v>1750</v>
      </c>
      <c r="C545" s="630">
        <v>1500</v>
      </c>
      <c r="D545" s="639" t="str">
        <f t="shared" si="179"/>
        <v>KVV17501500</v>
      </c>
      <c r="E545" s="1046">
        <f t="shared" si="180"/>
        <v>1130.6514937500001</v>
      </c>
      <c r="F545" s="631">
        <v>12</v>
      </c>
      <c r="G545" s="632">
        <f>F545*CCBASE!$B$51</f>
        <v>432</v>
      </c>
      <c r="H545" s="632"/>
      <c r="I545" s="632"/>
      <c r="J545" s="632">
        <f>CCBASE!$I$28*B545/1000</f>
        <v>698.65149374999999</v>
      </c>
      <c r="K545" s="632"/>
      <c r="L545" s="632"/>
      <c r="M545" s="632"/>
      <c r="N545" s="632"/>
      <c r="O545" s="632"/>
      <c r="P545" s="631"/>
      <c r="Q545" s="631"/>
      <c r="R545" s="631"/>
      <c r="S545" s="631"/>
      <c r="T545" s="631"/>
      <c r="U545" s="631"/>
      <c r="V545" s="631"/>
      <c r="W545" s="631"/>
      <c r="X545" s="631"/>
      <c r="Y545" s="631"/>
      <c r="Z545" s="631"/>
      <c r="AA545" s="631"/>
      <c r="AB545" s="631"/>
      <c r="AC545" s="631"/>
      <c r="AD545" s="631"/>
    </row>
    <row r="546" spans="1:30" x14ac:dyDescent="0.2">
      <c r="A546" s="630" t="s">
        <v>343</v>
      </c>
      <c r="B546" s="630">
        <v>2000</v>
      </c>
      <c r="C546" s="630">
        <v>1500</v>
      </c>
      <c r="D546" s="639" t="str">
        <f t="shared" si="179"/>
        <v>KVV20001500</v>
      </c>
      <c r="E546" s="1046">
        <f t="shared" si="180"/>
        <v>1230.45885</v>
      </c>
      <c r="F546" s="631">
        <v>12</v>
      </c>
      <c r="G546" s="632">
        <f>F546*CCBASE!$B$51</f>
        <v>432</v>
      </c>
      <c r="H546" s="632"/>
      <c r="I546" s="632"/>
      <c r="J546" s="632">
        <f>CCBASE!$I$28*B546/1000</f>
        <v>798.45884999999998</v>
      </c>
      <c r="K546" s="632"/>
      <c r="L546" s="632"/>
      <c r="M546" s="632"/>
      <c r="N546" s="632"/>
      <c r="O546" s="632"/>
      <c r="P546" s="631"/>
      <c r="Q546" s="631"/>
      <c r="R546" s="631"/>
      <c r="S546" s="631"/>
      <c r="T546" s="631"/>
      <c r="U546" s="631"/>
      <c r="V546" s="631"/>
      <c r="W546" s="631"/>
      <c r="X546" s="631"/>
      <c r="Y546" s="631"/>
      <c r="Z546" s="631"/>
      <c r="AA546" s="631"/>
      <c r="AB546" s="631"/>
      <c r="AC546" s="631"/>
      <c r="AD546" s="631"/>
    </row>
    <row r="547" spans="1:30" x14ac:dyDescent="0.2">
      <c r="A547" s="630" t="s">
        <v>343</v>
      </c>
      <c r="B547" s="630">
        <v>2250</v>
      </c>
      <c r="C547" s="630">
        <v>1500</v>
      </c>
      <c r="D547" s="639" t="str">
        <f t="shared" si="179"/>
        <v>KVV22501500</v>
      </c>
      <c r="E547" s="1046">
        <f t="shared" si="180"/>
        <v>1330.2662062499999</v>
      </c>
      <c r="F547" s="631">
        <v>12</v>
      </c>
      <c r="G547" s="632">
        <f>F547*CCBASE!$B$51</f>
        <v>432</v>
      </c>
      <c r="H547" s="632"/>
      <c r="I547" s="632"/>
      <c r="J547" s="632">
        <f>CCBASE!$I$28*B547/1000</f>
        <v>898.26620624999998</v>
      </c>
      <c r="K547" s="632"/>
      <c r="L547" s="632"/>
      <c r="M547" s="632"/>
      <c r="N547" s="632"/>
      <c r="O547" s="632"/>
      <c r="P547" s="631"/>
      <c r="Q547" s="631"/>
      <c r="R547" s="631"/>
      <c r="S547" s="631"/>
      <c r="T547" s="631"/>
      <c r="U547" s="631"/>
      <c r="V547" s="631"/>
      <c r="W547" s="631"/>
      <c r="X547" s="631"/>
      <c r="Y547" s="631"/>
      <c r="Z547" s="631"/>
      <c r="AA547" s="631"/>
      <c r="AB547" s="631"/>
      <c r="AC547" s="631"/>
      <c r="AD547" s="631"/>
    </row>
    <row r="548" spans="1:30" x14ac:dyDescent="0.2">
      <c r="A548" s="630" t="s">
        <v>343</v>
      </c>
      <c r="B548" s="630">
        <v>2500</v>
      </c>
      <c r="C548" s="630">
        <v>1500</v>
      </c>
      <c r="D548" s="639" t="str">
        <f t="shared" si="179"/>
        <v>KVV25001500</v>
      </c>
      <c r="E548" s="1046">
        <f t="shared" si="180"/>
        <v>1538.0735625</v>
      </c>
      <c r="F548" s="631">
        <v>15</v>
      </c>
      <c r="G548" s="632">
        <f>F548*CCBASE!$B$51</f>
        <v>540</v>
      </c>
      <c r="H548" s="632"/>
      <c r="I548" s="632"/>
      <c r="J548" s="632">
        <f>CCBASE!$I$28*B548/1000</f>
        <v>998.07356249999998</v>
      </c>
      <c r="K548" s="632"/>
      <c r="L548" s="632"/>
      <c r="M548" s="632"/>
      <c r="N548" s="632"/>
      <c r="O548" s="632"/>
      <c r="P548" s="631"/>
      <c r="Q548" s="631"/>
      <c r="R548" s="631"/>
      <c r="S548" s="631"/>
      <c r="T548" s="631"/>
      <c r="U548" s="631"/>
      <c r="V548" s="631"/>
      <c r="W548" s="631"/>
      <c r="X548" s="631"/>
      <c r="Y548" s="631"/>
      <c r="Z548" s="631"/>
      <c r="AA548" s="631"/>
      <c r="AB548" s="631"/>
      <c r="AC548" s="631"/>
      <c r="AD548" s="631"/>
    </row>
    <row r="549" spans="1:30" x14ac:dyDescent="0.2">
      <c r="A549" s="630" t="s">
        <v>343</v>
      </c>
      <c r="B549" s="630">
        <v>2750</v>
      </c>
      <c r="C549" s="630">
        <v>1500</v>
      </c>
      <c r="D549" s="639" t="str">
        <f t="shared" si="179"/>
        <v>KVV27501500</v>
      </c>
      <c r="E549" s="1046">
        <f t="shared" si="180"/>
        <v>1637.8809187499999</v>
      </c>
      <c r="F549" s="631">
        <v>15</v>
      </c>
      <c r="G549" s="632">
        <f>F549*CCBASE!$B$51</f>
        <v>540</v>
      </c>
      <c r="H549" s="632"/>
      <c r="I549" s="632"/>
      <c r="J549" s="632">
        <f>CCBASE!$I$28*B549/1000</f>
        <v>1097.8809187499999</v>
      </c>
      <c r="K549" s="632"/>
      <c r="L549" s="632"/>
      <c r="M549" s="632"/>
      <c r="N549" s="632"/>
      <c r="O549" s="632"/>
      <c r="P549" s="631"/>
      <c r="Q549" s="631"/>
      <c r="R549" s="631"/>
      <c r="S549" s="631"/>
      <c r="T549" s="631"/>
      <c r="U549" s="631"/>
      <c r="V549" s="631"/>
      <c r="W549" s="631"/>
      <c r="X549" s="631"/>
      <c r="Y549" s="631"/>
      <c r="Z549" s="631"/>
      <c r="AA549" s="631"/>
      <c r="AB549" s="631"/>
      <c r="AC549" s="631"/>
      <c r="AD549" s="631"/>
    </row>
    <row r="550" spans="1:30" x14ac:dyDescent="0.2">
      <c r="A550" s="630" t="s">
        <v>343</v>
      </c>
      <c r="B550" s="630">
        <v>3000</v>
      </c>
      <c r="C550" s="630">
        <v>1500</v>
      </c>
      <c r="D550" s="639" t="str">
        <f t="shared" si="179"/>
        <v>KVV30001500</v>
      </c>
      <c r="E550" s="1046">
        <f t="shared" si="180"/>
        <v>1737.688275</v>
      </c>
      <c r="F550" s="631">
        <v>15</v>
      </c>
      <c r="G550" s="632">
        <f>F550*CCBASE!$B$51</f>
        <v>540</v>
      </c>
      <c r="H550" s="632"/>
      <c r="I550" s="632"/>
      <c r="J550" s="632">
        <f>CCBASE!$I$28*B550/1000</f>
        <v>1197.688275</v>
      </c>
      <c r="K550" s="632"/>
      <c r="L550" s="632"/>
      <c r="M550" s="632"/>
      <c r="N550" s="632"/>
      <c r="O550" s="632"/>
      <c r="P550" s="631"/>
      <c r="Q550" s="631"/>
      <c r="R550" s="631"/>
      <c r="S550" s="631"/>
      <c r="T550" s="631"/>
      <c r="U550" s="631"/>
      <c r="V550" s="631"/>
      <c r="W550" s="631"/>
      <c r="X550" s="631"/>
      <c r="Y550" s="631"/>
      <c r="Z550" s="631"/>
      <c r="AA550" s="631"/>
      <c r="AB550" s="631"/>
      <c r="AC550" s="631"/>
      <c r="AD550" s="631"/>
    </row>
    <row r="551" spans="1:30" x14ac:dyDescent="0.2">
      <c r="A551" s="630" t="s">
        <v>343</v>
      </c>
      <c r="B551" s="630">
        <v>1000</v>
      </c>
      <c r="C551" s="630">
        <v>1750</v>
      </c>
      <c r="D551" s="639" t="str">
        <f t="shared" si="179"/>
        <v>KVV10001750</v>
      </c>
      <c r="E551" s="1046">
        <f t="shared" si="180"/>
        <v>826.06338800000003</v>
      </c>
      <c r="F551" s="631">
        <v>10</v>
      </c>
      <c r="G551" s="632">
        <f>F551*CCBASE!$B$51</f>
        <v>360</v>
      </c>
      <c r="H551" s="632"/>
      <c r="I551" s="632"/>
      <c r="J551" s="632">
        <f>CCBASE!$I$29*B551/1000</f>
        <v>466.06338799999997</v>
      </c>
      <c r="K551" s="632"/>
      <c r="L551" s="632"/>
      <c r="M551" s="632"/>
      <c r="N551" s="632"/>
      <c r="O551" s="632"/>
      <c r="P551" s="631"/>
      <c r="Q551" s="631"/>
      <c r="R551" s="631"/>
      <c r="S551" s="631"/>
      <c r="T551" s="631"/>
      <c r="U551" s="631"/>
      <c r="V551" s="631"/>
      <c r="W551" s="631"/>
      <c r="X551" s="631"/>
      <c r="Y551" s="631"/>
      <c r="Z551" s="631"/>
      <c r="AA551" s="631"/>
      <c r="AB551" s="631"/>
      <c r="AC551" s="631"/>
      <c r="AD551" s="631"/>
    </row>
    <row r="552" spans="1:30" x14ac:dyDescent="0.2">
      <c r="A552" s="630" t="s">
        <v>343</v>
      </c>
      <c r="B552" s="630">
        <v>1250</v>
      </c>
      <c r="C552" s="630">
        <v>1750</v>
      </c>
      <c r="D552" s="639" t="str">
        <f t="shared" si="179"/>
        <v>KVV12501750</v>
      </c>
      <c r="E552" s="1046">
        <f t="shared" si="180"/>
        <v>942.57923500000004</v>
      </c>
      <c r="F552" s="631">
        <v>10</v>
      </c>
      <c r="G552" s="632">
        <f>F552*CCBASE!$B$51</f>
        <v>360</v>
      </c>
      <c r="H552" s="632"/>
      <c r="I552" s="632"/>
      <c r="J552" s="632">
        <f>CCBASE!$I$29*B552/1000</f>
        <v>582.57923500000004</v>
      </c>
      <c r="K552" s="632"/>
      <c r="L552" s="632"/>
      <c r="M552" s="632"/>
      <c r="N552" s="632"/>
      <c r="O552" s="632"/>
      <c r="P552" s="631"/>
      <c r="Q552" s="631"/>
      <c r="R552" s="631"/>
      <c r="S552" s="631"/>
      <c r="T552" s="631"/>
      <c r="U552" s="631"/>
      <c r="V552" s="631"/>
      <c r="W552" s="631"/>
      <c r="X552" s="631"/>
      <c r="Y552" s="631"/>
      <c r="Z552" s="631"/>
      <c r="AA552" s="631"/>
      <c r="AB552" s="631"/>
      <c r="AC552" s="631"/>
      <c r="AD552" s="631"/>
    </row>
    <row r="553" spans="1:30" x14ac:dyDescent="0.2">
      <c r="A553" s="630" t="s">
        <v>343</v>
      </c>
      <c r="B553" s="630">
        <v>1500</v>
      </c>
      <c r="C553" s="630">
        <v>1750</v>
      </c>
      <c r="D553" s="639" t="str">
        <f t="shared" si="179"/>
        <v>KVV15001750</v>
      </c>
      <c r="E553" s="1046">
        <f t="shared" si="180"/>
        <v>1059.0950819999998</v>
      </c>
      <c r="F553" s="631">
        <v>10</v>
      </c>
      <c r="G553" s="632">
        <f>F553*CCBASE!$B$51</f>
        <v>360</v>
      </c>
      <c r="H553" s="632"/>
      <c r="I553" s="632"/>
      <c r="J553" s="632">
        <f>CCBASE!$I$29*B553/1000</f>
        <v>699.09508199999993</v>
      </c>
      <c r="K553" s="632"/>
      <c r="L553" s="632"/>
      <c r="M553" s="632"/>
      <c r="N553" s="632"/>
      <c r="O553" s="632"/>
      <c r="P553" s="631"/>
      <c r="Q553" s="631"/>
      <c r="R553" s="631"/>
      <c r="S553" s="631"/>
      <c r="T553" s="631"/>
      <c r="U553" s="631"/>
      <c r="V553" s="631"/>
      <c r="W553" s="631"/>
      <c r="X553" s="631"/>
      <c r="Y553" s="631"/>
      <c r="Z553" s="631"/>
      <c r="AA553" s="631"/>
      <c r="AB553" s="631"/>
      <c r="AC553" s="631"/>
      <c r="AD553" s="631"/>
    </row>
    <row r="554" spans="1:30" x14ac:dyDescent="0.2">
      <c r="A554" s="630" t="s">
        <v>343</v>
      </c>
      <c r="B554" s="630">
        <v>1750</v>
      </c>
      <c r="C554" s="630">
        <v>1750</v>
      </c>
      <c r="D554" s="639" t="str">
        <f t="shared" si="179"/>
        <v>KVV17501750</v>
      </c>
      <c r="E554" s="1046">
        <f t="shared" si="180"/>
        <v>1247.6109289999999</v>
      </c>
      <c r="F554" s="631">
        <v>12</v>
      </c>
      <c r="G554" s="632">
        <f>F554*CCBASE!$B$51</f>
        <v>432</v>
      </c>
      <c r="H554" s="632"/>
      <c r="I554" s="632"/>
      <c r="J554" s="632">
        <f>CCBASE!$I$29*B554/1000</f>
        <v>815.61092900000006</v>
      </c>
      <c r="K554" s="632"/>
      <c r="L554" s="632"/>
      <c r="M554" s="632"/>
      <c r="N554" s="632"/>
      <c r="O554" s="632"/>
      <c r="P554" s="631"/>
      <c r="Q554" s="631"/>
      <c r="R554" s="631"/>
      <c r="S554" s="631"/>
      <c r="T554" s="631"/>
      <c r="U554" s="631"/>
      <c r="V554" s="631"/>
      <c r="W554" s="631"/>
      <c r="X554" s="631"/>
      <c r="Y554" s="631"/>
      <c r="Z554" s="631"/>
      <c r="AA554" s="631"/>
      <c r="AB554" s="631"/>
      <c r="AC554" s="631"/>
      <c r="AD554" s="631"/>
    </row>
    <row r="555" spans="1:30" x14ac:dyDescent="0.2">
      <c r="A555" s="630" t="s">
        <v>343</v>
      </c>
      <c r="B555" s="630">
        <v>2000</v>
      </c>
      <c r="C555" s="630">
        <v>1750</v>
      </c>
      <c r="D555" s="639" t="str">
        <f t="shared" si="179"/>
        <v>KVV20001750</v>
      </c>
      <c r="E555" s="1046">
        <f t="shared" si="180"/>
        <v>1364.1267760000001</v>
      </c>
      <c r="F555" s="631">
        <v>12</v>
      </c>
      <c r="G555" s="632">
        <f>F555*CCBASE!$B$51</f>
        <v>432</v>
      </c>
      <c r="H555" s="632"/>
      <c r="I555" s="632"/>
      <c r="J555" s="632">
        <f>CCBASE!$I$29*B555/1000</f>
        <v>932.12677599999995</v>
      </c>
      <c r="K555" s="632"/>
      <c r="L555" s="632"/>
      <c r="M555" s="632"/>
      <c r="N555" s="632"/>
      <c r="O555" s="632"/>
      <c r="P555" s="631"/>
      <c r="Q555" s="631"/>
      <c r="R555" s="631"/>
      <c r="S555" s="631"/>
      <c r="T555" s="631"/>
      <c r="U555" s="631"/>
      <c r="V555" s="631"/>
      <c r="W555" s="631"/>
      <c r="X555" s="631"/>
      <c r="Y555" s="631"/>
      <c r="Z555" s="631"/>
      <c r="AA555" s="631"/>
      <c r="AB555" s="631"/>
      <c r="AC555" s="631"/>
      <c r="AD555" s="631"/>
    </row>
    <row r="556" spans="1:30" x14ac:dyDescent="0.2">
      <c r="A556" s="630" t="s">
        <v>343</v>
      </c>
      <c r="B556" s="630">
        <v>2250</v>
      </c>
      <c r="C556" s="630">
        <v>1750</v>
      </c>
      <c r="D556" s="639" t="str">
        <f t="shared" si="179"/>
        <v>KVV22501750</v>
      </c>
      <c r="E556" s="1046">
        <f t="shared" si="180"/>
        <v>1480.642623</v>
      </c>
      <c r="F556" s="631">
        <v>12</v>
      </c>
      <c r="G556" s="632">
        <f>F556*CCBASE!$B$51</f>
        <v>432</v>
      </c>
      <c r="H556" s="632"/>
      <c r="I556" s="632"/>
      <c r="J556" s="632">
        <f>CCBASE!$I$29*B556/1000</f>
        <v>1048.642623</v>
      </c>
      <c r="K556" s="632"/>
      <c r="L556" s="632"/>
      <c r="M556" s="632"/>
      <c r="N556" s="632"/>
      <c r="O556" s="632"/>
      <c r="P556" s="631"/>
      <c r="Q556" s="631"/>
      <c r="R556" s="631"/>
      <c r="S556" s="631"/>
      <c r="T556" s="631"/>
      <c r="U556" s="631"/>
      <c r="V556" s="631"/>
      <c r="W556" s="631"/>
      <c r="X556" s="631"/>
      <c r="Y556" s="631"/>
      <c r="Z556" s="631"/>
      <c r="AA556" s="631"/>
      <c r="AB556" s="631"/>
      <c r="AC556" s="631"/>
      <c r="AD556" s="631"/>
    </row>
    <row r="557" spans="1:30" x14ac:dyDescent="0.2">
      <c r="A557" s="630" t="s">
        <v>343</v>
      </c>
      <c r="B557" s="630">
        <v>2500</v>
      </c>
      <c r="C557" s="630">
        <v>1750</v>
      </c>
      <c r="D557" s="639" t="str">
        <f t="shared" si="179"/>
        <v>KVV25001750</v>
      </c>
      <c r="E557" s="1046">
        <f t="shared" si="180"/>
        <v>1705.1584700000001</v>
      </c>
      <c r="F557" s="631">
        <v>15</v>
      </c>
      <c r="G557" s="632">
        <f>F557*CCBASE!$B$51</f>
        <v>540</v>
      </c>
      <c r="H557" s="632"/>
      <c r="I557" s="632"/>
      <c r="J557" s="632">
        <f>CCBASE!$I$29*B557/1000</f>
        <v>1165.1584700000001</v>
      </c>
      <c r="K557" s="632"/>
      <c r="L557" s="632"/>
      <c r="M557" s="632"/>
      <c r="N557" s="632"/>
      <c r="O557" s="632"/>
      <c r="P557" s="631"/>
      <c r="Q557" s="631"/>
      <c r="R557" s="631"/>
      <c r="S557" s="631"/>
      <c r="T557" s="631"/>
      <c r="U557" s="631"/>
      <c r="V557" s="631"/>
      <c r="W557" s="631"/>
      <c r="X557" s="631"/>
      <c r="Y557" s="631"/>
      <c r="Z557" s="631"/>
      <c r="AA557" s="631"/>
      <c r="AB557" s="631"/>
      <c r="AC557" s="631"/>
      <c r="AD557" s="631"/>
    </row>
    <row r="558" spans="1:30" x14ac:dyDescent="0.2">
      <c r="A558" s="630" t="s">
        <v>343</v>
      </c>
      <c r="B558" s="630">
        <v>2750</v>
      </c>
      <c r="C558" s="630">
        <v>1750</v>
      </c>
      <c r="D558" s="639" t="str">
        <f t="shared" si="179"/>
        <v>KVV27501750</v>
      </c>
      <c r="E558" s="1046">
        <f t="shared" si="180"/>
        <v>1821.674317</v>
      </c>
      <c r="F558" s="631">
        <v>15</v>
      </c>
      <c r="G558" s="632">
        <f>F558*CCBASE!$B$51</f>
        <v>540</v>
      </c>
      <c r="H558" s="632"/>
      <c r="I558" s="632"/>
      <c r="J558" s="632">
        <f>CCBASE!$I$29*B558/1000</f>
        <v>1281.674317</v>
      </c>
      <c r="K558" s="632"/>
      <c r="L558" s="632"/>
      <c r="M558" s="632"/>
      <c r="N558" s="632"/>
      <c r="O558" s="632"/>
      <c r="P558" s="631"/>
      <c r="Q558" s="631"/>
      <c r="R558" s="631"/>
      <c r="S558" s="631"/>
      <c r="T558" s="631"/>
      <c r="U558" s="631"/>
      <c r="V558" s="631"/>
      <c r="W558" s="631"/>
      <c r="X558" s="631"/>
      <c r="Y558" s="631"/>
      <c r="Z558" s="631"/>
      <c r="AA558" s="631"/>
      <c r="AB558" s="631"/>
      <c r="AC558" s="631"/>
      <c r="AD558" s="631"/>
    </row>
    <row r="559" spans="1:30" x14ac:dyDescent="0.2">
      <c r="A559" s="630" t="s">
        <v>343</v>
      </c>
      <c r="B559" s="630">
        <v>3000</v>
      </c>
      <c r="C559" s="630">
        <v>1750</v>
      </c>
      <c r="D559" s="639" t="str">
        <f t="shared" si="179"/>
        <v>KVV30001750</v>
      </c>
      <c r="E559" s="1046">
        <f t="shared" si="180"/>
        <v>1938.1901639999999</v>
      </c>
      <c r="F559" s="631">
        <v>15</v>
      </c>
      <c r="G559" s="632">
        <f>F559*CCBASE!$B$51</f>
        <v>540</v>
      </c>
      <c r="H559" s="632"/>
      <c r="I559" s="632"/>
      <c r="J559" s="632">
        <f>CCBASE!$I$29*B559/1000</f>
        <v>1398.1901639999999</v>
      </c>
      <c r="K559" s="632"/>
      <c r="L559" s="632"/>
      <c r="M559" s="632"/>
      <c r="N559" s="632"/>
      <c r="O559" s="632"/>
      <c r="P559" s="631"/>
      <c r="Q559" s="631"/>
      <c r="R559" s="631"/>
      <c r="S559" s="631"/>
      <c r="T559" s="631"/>
      <c r="U559" s="631"/>
      <c r="V559" s="631"/>
      <c r="W559" s="631"/>
      <c r="X559" s="631"/>
      <c r="Y559" s="631"/>
      <c r="Z559" s="631"/>
      <c r="AA559" s="631"/>
      <c r="AB559" s="631"/>
      <c r="AC559" s="631"/>
      <c r="AD559" s="631"/>
    </row>
    <row r="560" spans="1:30" x14ac:dyDescent="0.2">
      <c r="A560" s="630" t="s">
        <v>343</v>
      </c>
      <c r="B560" s="630">
        <v>1000</v>
      </c>
      <c r="C560" s="630">
        <v>2000</v>
      </c>
      <c r="D560" s="639" t="str">
        <f t="shared" si="179"/>
        <v>KVV10002000</v>
      </c>
      <c r="E560" s="1046">
        <f t="shared" si="180"/>
        <v>892.30590000000007</v>
      </c>
      <c r="F560" s="631">
        <v>10</v>
      </c>
      <c r="G560" s="632">
        <f>F560*CCBASE!$B$51</f>
        <v>360</v>
      </c>
      <c r="H560" s="632"/>
      <c r="I560" s="632"/>
      <c r="J560" s="632">
        <f>CCBASE!$I$30*B560/1000</f>
        <v>532.30590000000007</v>
      </c>
      <c r="K560" s="632"/>
      <c r="L560" s="632"/>
      <c r="M560" s="632"/>
      <c r="N560" s="632"/>
      <c r="O560" s="632"/>
      <c r="P560" s="631"/>
      <c r="Q560" s="631"/>
      <c r="R560" s="631"/>
      <c r="S560" s="631"/>
      <c r="T560" s="631"/>
      <c r="U560" s="631"/>
      <c r="V560" s="631"/>
      <c r="W560" s="631"/>
      <c r="X560" s="631"/>
      <c r="Y560" s="631"/>
      <c r="Z560" s="631"/>
      <c r="AA560" s="631"/>
      <c r="AB560" s="631"/>
      <c r="AC560" s="631"/>
      <c r="AD560" s="631"/>
    </row>
    <row r="561" spans="1:45" x14ac:dyDescent="0.2">
      <c r="A561" s="630" t="s">
        <v>343</v>
      </c>
      <c r="B561" s="630">
        <v>1250</v>
      </c>
      <c r="C561" s="630">
        <v>2000</v>
      </c>
      <c r="D561" s="639" t="str">
        <f t="shared" si="179"/>
        <v>KVV12502000</v>
      </c>
      <c r="E561" s="1046">
        <f t="shared" si="180"/>
        <v>1025.3823750000001</v>
      </c>
      <c r="F561" s="631">
        <v>10</v>
      </c>
      <c r="G561" s="632">
        <f>F561*CCBASE!$B$51</f>
        <v>360</v>
      </c>
      <c r="H561" s="632"/>
      <c r="I561" s="632"/>
      <c r="J561" s="632">
        <f>CCBASE!$I$30*B561/1000</f>
        <v>665.38237500000014</v>
      </c>
      <c r="K561" s="632"/>
      <c r="L561" s="632"/>
      <c r="M561" s="632"/>
      <c r="N561" s="632"/>
      <c r="O561" s="632"/>
      <c r="P561" s="631"/>
      <c r="Q561" s="631"/>
      <c r="R561" s="631"/>
      <c r="S561" s="631"/>
      <c r="T561" s="631"/>
      <c r="U561" s="631"/>
      <c r="V561" s="631"/>
      <c r="W561" s="631"/>
      <c r="X561" s="631"/>
      <c r="Y561" s="631"/>
      <c r="Z561" s="631"/>
      <c r="AA561" s="631"/>
      <c r="AB561" s="631"/>
      <c r="AC561" s="631"/>
      <c r="AD561" s="631"/>
    </row>
    <row r="562" spans="1:45" x14ac:dyDescent="0.2">
      <c r="A562" s="630" t="s">
        <v>343</v>
      </c>
      <c r="B562" s="630">
        <v>1500</v>
      </c>
      <c r="C562" s="630">
        <v>2000</v>
      </c>
      <c r="D562" s="639" t="str">
        <f t="shared" si="179"/>
        <v>KVV15002000</v>
      </c>
      <c r="E562" s="1046">
        <f t="shared" si="180"/>
        <v>1158.45885</v>
      </c>
      <c r="F562" s="631">
        <v>10</v>
      </c>
      <c r="G562" s="632">
        <f>F562*CCBASE!$B$51</f>
        <v>360</v>
      </c>
      <c r="H562" s="632"/>
      <c r="I562" s="632"/>
      <c r="J562" s="632">
        <f>CCBASE!$I$30*B562/1000</f>
        <v>798.4588500000001</v>
      </c>
      <c r="K562" s="632"/>
      <c r="L562" s="632"/>
      <c r="M562" s="632"/>
      <c r="N562" s="632"/>
      <c r="O562" s="632"/>
      <c r="P562" s="631"/>
      <c r="Q562" s="631"/>
      <c r="R562" s="631"/>
      <c r="S562" s="631"/>
      <c r="T562" s="631"/>
      <c r="U562" s="631"/>
      <c r="V562" s="631"/>
      <c r="W562" s="631"/>
      <c r="X562" s="631"/>
      <c r="Y562" s="631"/>
      <c r="Z562" s="631"/>
      <c r="AA562" s="631"/>
      <c r="AB562" s="631"/>
      <c r="AC562" s="631"/>
      <c r="AD562" s="631"/>
    </row>
    <row r="563" spans="1:45" x14ac:dyDescent="0.2">
      <c r="A563" s="630" t="s">
        <v>343</v>
      </c>
      <c r="B563" s="630">
        <v>1750</v>
      </c>
      <c r="C563" s="630">
        <v>2000</v>
      </c>
      <c r="D563" s="639" t="str">
        <f t="shared" si="179"/>
        <v>KVV17502000</v>
      </c>
      <c r="E563" s="1046">
        <f t="shared" si="180"/>
        <v>1363.5353250000001</v>
      </c>
      <c r="F563" s="631">
        <v>12</v>
      </c>
      <c r="G563" s="632">
        <f>F563*CCBASE!$B$51</f>
        <v>432</v>
      </c>
      <c r="H563" s="632"/>
      <c r="I563" s="632"/>
      <c r="J563" s="632">
        <f>CCBASE!$I$30*B563/1000</f>
        <v>931.53532500000006</v>
      </c>
      <c r="K563" s="632"/>
      <c r="L563" s="632"/>
      <c r="M563" s="632"/>
      <c r="N563" s="632"/>
      <c r="O563" s="632"/>
      <c r="P563" s="631"/>
      <c r="Q563" s="631"/>
      <c r="R563" s="631"/>
      <c r="S563" s="631"/>
      <c r="T563" s="631"/>
      <c r="U563" s="631"/>
      <c r="V563" s="631"/>
      <c r="W563" s="631"/>
      <c r="X563" s="631"/>
      <c r="Y563" s="631"/>
      <c r="Z563" s="631"/>
      <c r="AA563" s="631"/>
      <c r="AB563" s="631"/>
      <c r="AC563" s="631"/>
      <c r="AD563" s="631"/>
    </row>
    <row r="564" spans="1:45" x14ac:dyDescent="0.2">
      <c r="A564" s="630" t="s">
        <v>343</v>
      </c>
      <c r="B564" s="630">
        <v>2000</v>
      </c>
      <c r="C564" s="630">
        <v>2000</v>
      </c>
      <c r="D564" s="639" t="str">
        <f t="shared" si="179"/>
        <v>KVV20002000</v>
      </c>
      <c r="E564" s="1046">
        <f t="shared" si="180"/>
        <v>1496.6118000000001</v>
      </c>
      <c r="F564" s="631">
        <v>12</v>
      </c>
      <c r="G564" s="632">
        <f>F564*CCBASE!$B$51</f>
        <v>432</v>
      </c>
      <c r="H564" s="632"/>
      <c r="I564" s="632"/>
      <c r="J564" s="632">
        <f>CCBASE!$I$30*B564/1000</f>
        <v>1064.6118000000001</v>
      </c>
      <c r="K564" s="632"/>
      <c r="L564" s="632"/>
      <c r="M564" s="632"/>
      <c r="N564" s="632"/>
      <c r="O564" s="632"/>
      <c r="P564" s="631"/>
      <c r="Q564" s="631"/>
      <c r="R564" s="631"/>
      <c r="S564" s="631"/>
      <c r="T564" s="631"/>
      <c r="U564" s="631"/>
      <c r="V564" s="631"/>
      <c r="W564" s="631"/>
      <c r="X564" s="631"/>
      <c r="Y564" s="631"/>
      <c r="Z564" s="631"/>
      <c r="AA564" s="631"/>
      <c r="AB564" s="631"/>
      <c r="AC564" s="631"/>
      <c r="AD564" s="631"/>
    </row>
    <row r="565" spans="1:45" x14ac:dyDescent="0.2">
      <c r="A565" s="630" t="s">
        <v>343</v>
      </c>
      <c r="B565" s="630">
        <v>2250</v>
      </c>
      <c r="C565" s="630">
        <v>2000</v>
      </c>
      <c r="D565" s="639" t="str">
        <f t="shared" si="179"/>
        <v>KVV22502000</v>
      </c>
      <c r="E565" s="1046">
        <f t="shared" si="180"/>
        <v>1629.6882750000002</v>
      </c>
      <c r="F565" s="631">
        <v>12</v>
      </c>
      <c r="G565" s="632">
        <f>F565*CCBASE!$B$51</f>
        <v>432</v>
      </c>
      <c r="H565" s="632"/>
      <c r="I565" s="632"/>
      <c r="J565" s="632">
        <f>CCBASE!$I$30*B565/1000</f>
        <v>1197.6882750000002</v>
      </c>
      <c r="K565" s="632"/>
      <c r="L565" s="632"/>
      <c r="M565" s="632"/>
      <c r="N565" s="632"/>
      <c r="O565" s="632"/>
      <c r="P565" s="631"/>
      <c r="Q565" s="631"/>
      <c r="R565" s="631"/>
      <c r="S565" s="631"/>
      <c r="T565" s="631"/>
      <c r="U565" s="631"/>
      <c r="V565" s="631"/>
      <c r="W565" s="631"/>
      <c r="X565" s="631"/>
      <c r="Y565" s="631"/>
      <c r="Z565" s="631"/>
      <c r="AA565" s="631"/>
      <c r="AB565" s="631"/>
      <c r="AC565" s="631"/>
      <c r="AD565" s="631"/>
    </row>
    <row r="566" spans="1:45" x14ac:dyDescent="0.2">
      <c r="A566" s="630" t="s">
        <v>343</v>
      </c>
      <c r="B566" s="630">
        <v>2500</v>
      </c>
      <c r="C566" s="630">
        <v>2000</v>
      </c>
      <c r="D566" s="639" t="str">
        <f t="shared" si="179"/>
        <v>KVV25002000</v>
      </c>
      <c r="E566" s="1046">
        <f t="shared" si="180"/>
        <v>1870.7647500000003</v>
      </c>
      <c r="F566" s="631">
        <v>15</v>
      </c>
      <c r="G566" s="632">
        <f>F566*CCBASE!$B$51</f>
        <v>540</v>
      </c>
      <c r="H566" s="632"/>
      <c r="I566" s="632"/>
      <c r="J566" s="632">
        <f>CCBASE!$I$30*B566/1000</f>
        <v>1330.7647500000003</v>
      </c>
      <c r="K566" s="632"/>
      <c r="L566" s="632"/>
      <c r="M566" s="632"/>
      <c r="N566" s="632"/>
      <c r="O566" s="632"/>
      <c r="P566" s="631"/>
      <c r="Q566" s="631"/>
      <c r="R566" s="631"/>
      <c r="S566" s="631"/>
      <c r="T566" s="631"/>
      <c r="U566" s="631"/>
      <c r="V566" s="631"/>
      <c r="W566" s="631"/>
      <c r="X566" s="631"/>
      <c r="Y566" s="631"/>
      <c r="Z566" s="631"/>
      <c r="AA566" s="631"/>
      <c r="AB566" s="631"/>
      <c r="AC566" s="631"/>
      <c r="AD566" s="631"/>
    </row>
    <row r="567" spans="1:45" x14ac:dyDescent="0.2">
      <c r="A567" s="630" t="s">
        <v>343</v>
      </c>
      <c r="B567" s="630">
        <v>2750</v>
      </c>
      <c r="C567" s="630">
        <v>2000</v>
      </c>
      <c r="D567" s="639" t="str">
        <f t="shared" si="179"/>
        <v>KVV27502000</v>
      </c>
      <c r="E567" s="1046">
        <f t="shared" si="180"/>
        <v>2003.8412250000001</v>
      </c>
      <c r="F567" s="631">
        <v>15</v>
      </c>
      <c r="G567" s="632">
        <f>F567*CCBASE!$B$51</f>
        <v>540</v>
      </c>
      <c r="H567" s="632"/>
      <c r="I567" s="632"/>
      <c r="J567" s="632">
        <f>CCBASE!$I$30*B567/1000</f>
        <v>1463.8412250000001</v>
      </c>
      <c r="K567" s="632"/>
      <c r="L567" s="632"/>
      <c r="M567" s="632"/>
      <c r="N567" s="632"/>
      <c r="O567" s="632"/>
      <c r="P567" s="631"/>
      <c r="Q567" s="631"/>
      <c r="R567" s="631"/>
      <c r="S567" s="631"/>
      <c r="T567" s="631"/>
      <c r="U567" s="631"/>
      <c r="V567" s="631"/>
      <c r="W567" s="631"/>
      <c r="X567" s="631"/>
      <c r="Y567" s="631"/>
      <c r="Z567" s="631"/>
      <c r="AA567" s="631"/>
      <c r="AB567" s="631"/>
      <c r="AC567" s="631"/>
      <c r="AD567" s="631"/>
    </row>
    <row r="568" spans="1:45" x14ac:dyDescent="0.2">
      <c r="A568" s="630" t="s">
        <v>343</v>
      </c>
      <c r="B568" s="630">
        <v>3000</v>
      </c>
      <c r="C568" s="630">
        <v>2000</v>
      </c>
      <c r="D568" s="639" t="str">
        <f t="shared" si="179"/>
        <v>KVV30002000</v>
      </c>
      <c r="E568" s="1046">
        <f t="shared" si="180"/>
        <v>2136.9177</v>
      </c>
      <c r="F568" s="631">
        <v>15</v>
      </c>
      <c r="G568" s="632">
        <f>F568*CCBASE!$B$51</f>
        <v>540</v>
      </c>
      <c r="H568" s="632"/>
      <c r="I568" s="632"/>
      <c r="J568" s="632">
        <f>CCBASE!$I$30*B568/1000</f>
        <v>1596.9177000000002</v>
      </c>
      <c r="K568" s="632"/>
      <c r="L568" s="632"/>
      <c r="M568" s="632"/>
      <c r="N568" s="632"/>
      <c r="O568" s="632"/>
      <c r="P568" s="631"/>
      <c r="Q568" s="631"/>
      <c r="R568" s="631"/>
      <c r="S568" s="631"/>
      <c r="T568" s="631"/>
      <c r="U568" s="631"/>
      <c r="V568" s="631"/>
      <c r="W568" s="631"/>
      <c r="X568" s="631"/>
      <c r="Y568" s="631"/>
      <c r="Z568" s="631"/>
      <c r="AA568" s="631"/>
      <c r="AB568" s="631"/>
      <c r="AC568" s="631"/>
      <c r="AD568" s="631"/>
    </row>
    <row r="569" spans="1:45" x14ac:dyDescent="0.2">
      <c r="A569" s="630" t="s">
        <v>575</v>
      </c>
      <c r="B569" s="630">
        <v>1</v>
      </c>
      <c r="C569" s="630" t="s">
        <v>246</v>
      </c>
      <c r="D569" s="639" t="str">
        <f t="shared" si="179"/>
        <v>CP1S</v>
      </c>
      <c r="E569" s="1046">
        <v>3957.74</v>
      </c>
      <c r="F569" s="631">
        <v>6</v>
      </c>
      <c r="G569" s="632">
        <f>F569*CCBASE!$B$51</f>
        <v>216</v>
      </c>
      <c r="H569" s="632"/>
      <c r="I569" s="637"/>
      <c r="J569" s="637"/>
      <c r="K569" s="637"/>
      <c r="L569" s="637"/>
      <c r="M569" s="637"/>
      <c r="N569" s="637"/>
      <c r="O569" s="637"/>
      <c r="P569" s="637"/>
      <c r="Q569" s="637"/>
      <c r="R569" s="637"/>
      <c r="S569" s="637"/>
      <c r="T569" s="637"/>
      <c r="U569" s="637"/>
      <c r="V569" s="637"/>
      <c r="W569" s="637"/>
      <c r="X569" s="637">
        <f>'Base Costs'!$R$33</f>
        <v>390.08000000000004</v>
      </c>
      <c r="Y569" s="637">
        <f>'Base Costs'!$R$23</f>
        <v>174.68800000000002</v>
      </c>
      <c r="Z569" s="637">
        <f>'Base Costs'!R29</f>
        <v>793.94</v>
      </c>
      <c r="AA569" s="637">
        <f>'Base Costs'!R25</f>
        <v>1200.98</v>
      </c>
      <c r="AB569" s="632">
        <f>CCBASE!$I$48</f>
        <v>153.46597</v>
      </c>
      <c r="AC569" s="637">
        <f>'Base Costs'!$R$24</f>
        <v>19.111800000000002</v>
      </c>
      <c r="AD569" s="637"/>
    </row>
    <row r="570" spans="1:45" x14ac:dyDescent="0.2">
      <c r="A570" s="630" t="s">
        <v>575</v>
      </c>
      <c r="B570" s="630">
        <v>2</v>
      </c>
      <c r="C570" s="630" t="s">
        <v>246</v>
      </c>
      <c r="D570" s="639" t="str">
        <f t="shared" si="179"/>
        <v>CP2S</v>
      </c>
      <c r="E570" s="1046">
        <v>4249.6000000000004</v>
      </c>
      <c r="F570" s="631">
        <v>6</v>
      </c>
      <c r="G570" s="632">
        <f>F570*CCBASE!$B$51</f>
        <v>216</v>
      </c>
      <c r="H570" s="632"/>
      <c r="I570" s="637"/>
      <c r="J570" s="637"/>
      <c r="K570" s="637"/>
      <c r="L570" s="637"/>
      <c r="M570" s="637"/>
      <c r="N570" s="637"/>
      <c r="O570" s="637"/>
      <c r="P570" s="637"/>
      <c r="Q570" s="637"/>
      <c r="R570" s="637"/>
      <c r="S570" s="637"/>
      <c r="T570" s="637"/>
      <c r="U570" s="637"/>
      <c r="V570" s="637"/>
      <c r="W570" s="637"/>
      <c r="X570" s="637">
        <f>'Base Costs'!$R$33</f>
        <v>390.08000000000004</v>
      </c>
      <c r="Y570" s="637">
        <f>'Base Costs'!$R$23</f>
        <v>174.68800000000002</v>
      </c>
      <c r="Z570" s="637">
        <f>'Base Costs'!R30</f>
        <v>877.68000000000006</v>
      </c>
      <c r="AA570" s="637">
        <f>'Base Costs'!R26</f>
        <v>1419.3400000000001</v>
      </c>
      <c r="AB570" s="632">
        <f>CCBASE!$I$48</f>
        <v>153.46597</v>
      </c>
      <c r="AC570" s="637">
        <f>'Base Costs'!$R$24</f>
        <v>19.111800000000002</v>
      </c>
      <c r="AD570" s="637"/>
    </row>
    <row r="571" spans="1:45" x14ac:dyDescent="0.2">
      <c r="A571" s="630" t="s">
        <v>575</v>
      </c>
      <c r="B571" s="630">
        <v>3</v>
      </c>
      <c r="C571" s="630" t="s">
        <v>246</v>
      </c>
      <c r="D571" s="639" t="str">
        <f t="shared" si="179"/>
        <v>CP3S</v>
      </c>
      <c r="E571" s="1046">
        <v>4541.45</v>
      </c>
      <c r="F571" s="631">
        <v>6</v>
      </c>
      <c r="G571" s="632">
        <f>F571*CCBASE!$B$51</f>
        <v>216</v>
      </c>
      <c r="H571" s="632"/>
      <c r="I571" s="637"/>
      <c r="J571" s="637"/>
      <c r="K571" s="637"/>
      <c r="L571" s="637"/>
      <c r="M571" s="637"/>
      <c r="N571" s="637"/>
      <c r="O571" s="637"/>
      <c r="P571" s="637"/>
      <c r="Q571" s="637"/>
      <c r="R571" s="637"/>
      <c r="S571" s="637"/>
      <c r="T571" s="637"/>
      <c r="U571" s="637"/>
      <c r="V571" s="637"/>
      <c r="W571" s="637"/>
      <c r="X571" s="637">
        <f>'Base Costs'!$R$33</f>
        <v>390.08000000000004</v>
      </c>
      <c r="Y571" s="637">
        <f>'Base Costs'!$R$23</f>
        <v>174.68800000000002</v>
      </c>
      <c r="Z571" s="637">
        <f>'Base Costs'!R31</f>
        <v>992.16000000000008</v>
      </c>
      <c r="AA571" s="637">
        <f>'Base Costs'!R27</f>
        <v>1556.0800000000002</v>
      </c>
      <c r="AB571" s="632">
        <f>CCBASE!$I$48</f>
        <v>153.46597</v>
      </c>
      <c r="AC571" s="637">
        <f>'Base Costs'!$R$24</f>
        <v>19.111800000000002</v>
      </c>
      <c r="AD571" s="637"/>
    </row>
    <row r="572" spans="1:45" x14ac:dyDescent="0.2">
      <c r="A572" s="630" t="s">
        <v>575</v>
      </c>
      <c r="B572" s="630">
        <v>4</v>
      </c>
      <c r="C572" s="630" t="s">
        <v>246</v>
      </c>
      <c r="D572" s="639" t="str">
        <f t="shared" si="179"/>
        <v>CP4S</v>
      </c>
      <c r="E572" s="1046">
        <v>4611.6099999999997</v>
      </c>
      <c r="F572" s="631">
        <v>6</v>
      </c>
      <c r="G572" s="632">
        <f>F572*CCBASE!$B$51</f>
        <v>216</v>
      </c>
      <c r="H572" s="632"/>
      <c r="I572" s="637"/>
      <c r="J572" s="637"/>
      <c r="K572" s="637"/>
      <c r="L572" s="637"/>
      <c r="M572" s="637"/>
      <c r="N572" s="637"/>
      <c r="O572" s="637"/>
      <c r="P572" s="637"/>
      <c r="Q572" s="637"/>
      <c r="R572" s="637"/>
      <c r="S572" s="637"/>
      <c r="T572" s="637"/>
      <c r="U572" s="637"/>
      <c r="V572" s="637"/>
      <c r="W572" s="637"/>
      <c r="X572" s="637">
        <f>'Base Costs'!$R$33</f>
        <v>390.08000000000004</v>
      </c>
      <c r="Y572" s="637">
        <f>'Base Costs'!$R$23</f>
        <v>174.68800000000002</v>
      </c>
      <c r="Z572" s="637">
        <f>'Base Costs'!R32</f>
        <v>1055.76</v>
      </c>
      <c r="AA572" s="637">
        <f>'Base Costs'!R28</f>
        <v>1856.0600000000002</v>
      </c>
      <c r="AB572" s="632">
        <f>CCBASE!$I$48</f>
        <v>153.46597</v>
      </c>
      <c r="AC572" s="637">
        <f>'Base Costs'!$R$24</f>
        <v>19.111800000000002</v>
      </c>
      <c r="AD572" s="637"/>
    </row>
    <row r="573" spans="1:45" x14ac:dyDescent="0.2">
      <c r="A573" s="630" t="s">
        <v>602</v>
      </c>
      <c r="B573" s="630">
        <v>1000</v>
      </c>
      <c r="C573" s="630">
        <v>1000</v>
      </c>
      <c r="D573" s="630" t="str">
        <f>$A573&amp;B573&amp;C573</f>
        <v>KVX-P10001000</v>
      </c>
      <c r="E573" s="1046">
        <f t="shared" si="180"/>
        <v>615.20440150000002</v>
      </c>
      <c r="F573" s="631">
        <v>13</v>
      </c>
      <c r="G573" s="632">
        <f>F573*CCBASE!$B$51</f>
        <v>468</v>
      </c>
      <c r="H573" s="632">
        <f>CCBASE!$I$12*B573/1000</f>
        <v>119.65053730000001</v>
      </c>
      <c r="I573" s="632"/>
      <c r="J573" s="632"/>
      <c r="K573" s="632"/>
      <c r="L573" s="631"/>
      <c r="M573" s="632"/>
      <c r="N573" s="632"/>
      <c r="O573" s="632"/>
      <c r="P573" s="632"/>
      <c r="Q573" s="632">
        <f>CCBASE!$I$51</f>
        <v>2.9</v>
      </c>
      <c r="R573" s="632">
        <f>CCBASE!$I$4</f>
        <v>8.3986041999999994</v>
      </c>
      <c r="S573" s="632">
        <f>CCBASE!$I$8</f>
        <v>16.25526</v>
      </c>
      <c r="T573" s="631"/>
      <c r="U573" s="632"/>
      <c r="V573" s="632"/>
      <c r="W573" s="632"/>
      <c r="X573" s="632"/>
      <c r="Y573" s="632"/>
      <c r="Z573" s="632"/>
      <c r="AA573" s="632"/>
      <c r="AB573" s="632"/>
      <c r="AC573" s="632"/>
      <c r="AD573" s="632"/>
      <c r="AI573" s="634"/>
      <c r="AJ573" s="634"/>
      <c r="AK573" s="635"/>
      <c r="AL573" s="635"/>
      <c r="AM573" s="635"/>
      <c r="AN573" s="635"/>
      <c r="AO573" s="635"/>
      <c r="AP573" s="635"/>
      <c r="AQ573" s="635"/>
      <c r="AR573" s="635"/>
      <c r="AS573" s="635"/>
    </row>
    <row r="574" spans="1:45" x14ac:dyDescent="0.2">
      <c r="A574" s="630" t="s">
        <v>602</v>
      </c>
      <c r="B574" s="630">
        <v>1250</v>
      </c>
      <c r="C574" s="630">
        <v>1000</v>
      </c>
      <c r="D574" s="630" t="str">
        <f t="shared" ref="D574:D576" si="181">$A574&amp;B574&amp;C574</f>
        <v>KVX-P12501000</v>
      </c>
      <c r="E574" s="1046">
        <f t="shared" si="180"/>
        <v>645.11703582500002</v>
      </c>
      <c r="F574" s="631">
        <v>13</v>
      </c>
      <c r="G574" s="632">
        <f>F574*CCBASE!$B$51</f>
        <v>468</v>
      </c>
      <c r="H574" s="632">
        <f>CCBASE!$I$12*B574/1000</f>
        <v>149.56317162500002</v>
      </c>
      <c r="I574" s="632"/>
      <c r="J574" s="632"/>
      <c r="K574" s="632"/>
      <c r="L574" s="631"/>
      <c r="M574" s="632"/>
      <c r="N574" s="632"/>
      <c r="O574" s="632"/>
      <c r="P574" s="632"/>
      <c r="Q574" s="632">
        <f>CCBASE!$I$51</f>
        <v>2.9</v>
      </c>
      <c r="R574" s="632">
        <f>CCBASE!$I$4</f>
        <v>8.3986041999999994</v>
      </c>
      <c r="S574" s="632">
        <f>CCBASE!$I$8</f>
        <v>16.25526</v>
      </c>
      <c r="T574" s="631"/>
      <c r="U574" s="632"/>
      <c r="V574" s="632"/>
      <c r="W574" s="632"/>
      <c r="X574" s="632"/>
      <c r="Y574" s="632"/>
      <c r="Z574" s="632"/>
      <c r="AA574" s="632"/>
      <c r="AB574" s="632"/>
      <c r="AC574" s="632"/>
      <c r="AD574" s="632"/>
      <c r="AI574" s="634"/>
      <c r="AJ574" s="634"/>
      <c r="AK574" s="635"/>
      <c r="AL574" s="635"/>
      <c r="AM574" s="635"/>
      <c r="AN574" s="635"/>
      <c r="AO574" s="635"/>
      <c r="AP574" s="635"/>
      <c r="AQ574" s="635"/>
      <c r="AR574" s="635"/>
      <c r="AS574" s="635"/>
    </row>
    <row r="575" spans="1:45" x14ac:dyDescent="0.2">
      <c r="A575" s="630" t="s">
        <v>602</v>
      </c>
      <c r="B575" s="630">
        <v>1500</v>
      </c>
      <c r="C575" s="630">
        <v>1000</v>
      </c>
      <c r="D575" s="630" t="str">
        <f t="shared" si="181"/>
        <v>KVX-P15001000</v>
      </c>
      <c r="E575" s="1046">
        <f t="shared" si="180"/>
        <v>675.02967015000002</v>
      </c>
      <c r="F575" s="631">
        <v>13</v>
      </c>
      <c r="G575" s="632">
        <f>F575*CCBASE!$B$51</f>
        <v>468</v>
      </c>
      <c r="H575" s="632">
        <f>CCBASE!$I$12*B575/1000</f>
        <v>179.47580595000002</v>
      </c>
      <c r="I575" s="632"/>
      <c r="J575" s="632"/>
      <c r="K575" s="632"/>
      <c r="L575" s="631"/>
      <c r="M575" s="632"/>
      <c r="N575" s="632"/>
      <c r="O575" s="632"/>
      <c r="P575" s="632"/>
      <c r="Q575" s="632">
        <f>CCBASE!$I$51</f>
        <v>2.9</v>
      </c>
      <c r="R575" s="632">
        <f>CCBASE!$I$4</f>
        <v>8.3986041999999994</v>
      </c>
      <c r="S575" s="632">
        <f>CCBASE!$I$8</f>
        <v>16.25526</v>
      </c>
      <c r="T575" s="631"/>
      <c r="U575" s="632"/>
      <c r="V575" s="632"/>
      <c r="W575" s="632"/>
      <c r="X575" s="632"/>
      <c r="Y575" s="632"/>
      <c r="Z575" s="632"/>
      <c r="AA575" s="632"/>
      <c r="AB575" s="632"/>
      <c r="AC575" s="632"/>
      <c r="AD575" s="632"/>
      <c r="AI575" s="634"/>
      <c r="AJ575" s="634"/>
      <c r="AK575" s="635"/>
      <c r="AL575" s="635"/>
      <c r="AM575" s="635"/>
      <c r="AN575" s="635"/>
      <c r="AO575" s="635"/>
      <c r="AP575" s="635"/>
      <c r="AQ575" s="635"/>
      <c r="AR575" s="635"/>
      <c r="AS575" s="635"/>
    </row>
    <row r="576" spans="1:45" ht="17" thickBot="1" x14ac:dyDescent="0.25">
      <c r="A576" s="640" t="s">
        <v>602</v>
      </c>
      <c r="B576" s="640">
        <v>2000</v>
      </c>
      <c r="C576" s="640">
        <v>1000</v>
      </c>
      <c r="D576" s="640" t="str">
        <f t="shared" si="181"/>
        <v>KVX-P20001000</v>
      </c>
      <c r="E576" s="1046">
        <f t="shared" si="180"/>
        <v>734.85493880000001</v>
      </c>
      <c r="F576" s="641">
        <v>13</v>
      </c>
      <c r="G576" s="642">
        <f>F576*CCBASE!$B$51</f>
        <v>468</v>
      </c>
      <c r="H576" s="642">
        <f>CCBASE!$I$12*B576/1000</f>
        <v>239.30107460000002</v>
      </c>
      <c r="I576" s="642"/>
      <c r="J576" s="642"/>
      <c r="K576" s="642"/>
      <c r="L576" s="641"/>
      <c r="M576" s="642"/>
      <c r="N576" s="642"/>
      <c r="O576" s="642"/>
      <c r="P576" s="642"/>
      <c r="Q576" s="642">
        <f>CCBASE!$I$51</f>
        <v>2.9</v>
      </c>
      <c r="R576" s="642">
        <f>CCBASE!$I$4</f>
        <v>8.3986041999999994</v>
      </c>
      <c r="S576" s="642">
        <f>CCBASE!$I$8</f>
        <v>16.25526</v>
      </c>
      <c r="T576" s="641"/>
      <c r="U576" s="642"/>
      <c r="V576" s="642"/>
      <c r="W576" s="642"/>
      <c r="X576" s="642"/>
      <c r="Y576" s="642"/>
      <c r="Z576" s="642"/>
      <c r="AA576" s="642"/>
      <c r="AB576" s="642"/>
      <c r="AC576" s="642"/>
      <c r="AD576" s="642"/>
      <c r="AI576" s="634"/>
      <c r="AJ576" s="634"/>
      <c r="AK576" s="635"/>
      <c r="AL576" s="635"/>
      <c r="AM576" s="635"/>
      <c r="AN576" s="635"/>
      <c r="AO576" s="635"/>
      <c r="AP576" s="635"/>
      <c r="AQ576" s="635"/>
      <c r="AR576" s="635"/>
      <c r="AS576" s="635"/>
    </row>
    <row r="577" spans="1:45" ht="17" thickBot="1" x14ac:dyDescent="0.25">
      <c r="A577" s="643" t="s">
        <v>762</v>
      </c>
      <c r="B577" s="644">
        <v>1000</v>
      </c>
      <c r="C577" s="644">
        <v>1000</v>
      </c>
      <c r="D577" s="645" t="str">
        <f>$A577&amp;B577&amp;C577</f>
        <v>KVX-M10001000</v>
      </c>
      <c r="E577" s="1046">
        <f t="shared" si="180"/>
        <v>1045.1075905</v>
      </c>
      <c r="F577" s="646">
        <v>17</v>
      </c>
      <c r="G577" s="647">
        <f>F577*CCBASE!$B$51</f>
        <v>612</v>
      </c>
      <c r="H577" s="647">
        <f>CCBASE!$I$12*B577/1000</f>
        <v>119.65053730000001</v>
      </c>
      <c r="I577" s="647"/>
      <c r="J577" s="647"/>
      <c r="K577" s="647"/>
      <c r="L577" s="646"/>
      <c r="M577" s="647">
        <f>CCBASE!$I$15*B577/1000</f>
        <v>79.84588500000001</v>
      </c>
      <c r="N577" s="647">
        <f>CCBASE!$I$7*B577/1000</f>
        <v>31.542280000000002</v>
      </c>
      <c r="O577" s="647">
        <f>CCBASE!$I$45*B577/1000</f>
        <v>9.9700000000000006</v>
      </c>
      <c r="P577" s="647"/>
      <c r="Q577" s="647">
        <f>CCBASE!$I$51</f>
        <v>2.9</v>
      </c>
      <c r="R577" s="647">
        <f>CCBASE!$I$4</f>
        <v>8.3986041999999994</v>
      </c>
      <c r="S577" s="647">
        <f>CCBASE!$I$8</f>
        <v>16.25526</v>
      </c>
      <c r="T577" s="646"/>
      <c r="U577" s="648">
        <f>CCBASE!$I$47</f>
        <v>14.41</v>
      </c>
      <c r="V577" s="647"/>
      <c r="W577" s="647">
        <f>CCBASE!$I$40*B577/1000</f>
        <v>41.308039999999998</v>
      </c>
      <c r="X577" s="647"/>
      <c r="Y577" s="647"/>
      <c r="Z577" s="647"/>
      <c r="AA577" s="647"/>
      <c r="AB577" s="647"/>
      <c r="AC577" s="647"/>
      <c r="AD577" s="649">
        <f>CCBASE!$I$32*2</f>
        <v>108.826984</v>
      </c>
      <c r="AI577" s="634"/>
      <c r="AJ577" s="634"/>
      <c r="AK577" s="635"/>
      <c r="AL577" s="635"/>
      <c r="AM577" s="635"/>
      <c r="AN577" s="635"/>
      <c r="AO577" s="635"/>
      <c r="AP577" s="635"/>
      <c r="AQ577" s="635"/>
      <c r="AR577" s="635"/>
      <c r="AS577" s="635"/>
    </row>
    <row r="578" spans="1:45" ht="17" thickBot="1" x14ac:dyDescent="0.25">
      <c r="A578" s="643" t="s">
        <v>762</v>
      </c>
      <c r="B578" s="630">
        <v>1250</v>
      </c>
      <c r="C578" s="630">
        <v>1000</v>
      </c>
      <c r="D578" s="650" t="str">
        <f t="shared" ref="D578:D621" si="182">$A578&amp;B578&amp;C578</f>
        <v>KVX-M12501000</v>
      </c>
      <c r="E578" s="1046">
        <f t="shared" si="180"/>
        <v>1115.6867760749999</v>
      </c>
      <c r="F578" s="631">
        <v>17</v>
      </c>
      <c r="G578" s="632">
        <f>F578*CCBASE!$B$51</f>
        <v>612</v>
      </c>
      <c r="H578" s="632">
        <f>CCBASE!$I$12*B578/1000</f>
        <v>149.56317162500002</v>
      </c>
      <c r="I578" s="632"/>
      <c r="J578" s="632"/>
      <c r="K578" s="632"/>
      <c r="L578" s="631"/>
      <c r="M578" s="632">
        <f>CCBASE!$I$15*B578/1000</f>
        <v>99.807356250000012</v>
      </c>
      <c r="N578" s="632">
        <f>CCBASE!$I$7*B578/1000</f>
        <v>39.427849999999999</v>
      </c>
      <c r="O578" s="632">
        <f>CCBASE!$I$45*B578/1000</f>
        <v>12.4625</v>
      </c>
      <c r="P578" s="632"/>
      <c r="Q578" s="632">
        <f>CCBASE!$I$51</f>
        <v>2.9</v>
      </c>
      <c r="R578" s="632">
        <f>CCBASE!$I$4</f>
        <v>8.3986041999999994</v>
      </c>
      <c r="S578" s="632">
        <f>CCBASE!$I$8</f>
        <v>16.25526</v>
      </c>
      <c r="T578" s="631"/>
      <c r="U578" s="637">
        <f>CCBASE!$I$47</f>
        <v>14.41</v>
      </c>
      <c r="V578" s="632"/>
      <c r="W578" s="632">
        <f>CCBASE!$I$40*B578/1000</f>
        <v>51.635049999999993</v>
      </c>
      <c r="X578" s="632"/>
      <c r="Y578" s="632"/>
      <c r="Z578" s="632"/>
      <c r="AA578" s="632"/>
      <c r="AB578" s="632"/>
      <c r="AC578" s="632"/>
      <c r="AD578" s="651">
        <f>CCBASE!$I$32*2</f>
        <v>108.826984</v>
      </c>
      <c r="AI578" s="634"/>
      <c r="AJ578" s="634"/>
      <c r="AK578" s="635"/>
      <c r="AL578" s="635"/>
      <c r="AM578" s="635"/>
      <c r="AN578" s="635"/>
      <c r="AO578" s="635"/>
      <c r="AP578" s="635"/>
      <c r="AQ578" s="635"/>
      <c r="AR578" s="635"/>
      <c r="AS578" s="635"/>
    </row>
    <row r="579" spans="1:45" ht="17" thickBot="1" x14ac:dyDescent="0.25">
      <c r="A579" s="643" t="s">
        <v>762</v>
      </c>
      <c r="B579" s="630">
        <v>1500</v>
      </c>
      <c r="C579" s="630">
        <v>1000</v>
      </c>
      <c r="D579" s="650" t="str">
        <f t="shared" si="182"/>
        <v>KVX-M15001000</v>
      </c>
      <c r="E579" s="1046">
        <f t="shared" si="180"/>
        <v>1186.26596165</v>
      </c>
      <c r="F579" s="631">
        <v>17</v>
      </c>
      <c r="G579" s="632">
        <f>F579*CCBASE!$B$51</f>
        <v>612</v>
      </c>
      <c r="H579" s="632">
        <f>CCBASE!$I$12*B579/1000</f>
        <v>179.47580595000002</v>
      </c>
      <c r="I579" s="632"/>
      <c r="J579" s="632"/>
      <c r="K579" s="632"/>
      <c r="L579" s="631"/>
      <c r="M579" s="632">
        <f>CCBASE!$I$15*B579/1000</f>
        <v>119.76882750000001</v>
      </c>
      <c r="N579" s="632">
        <f>CCBASE!$I$7*B579/1000</f>
        <v>47.313420000000008</v>
      </c>
      <c r="O579" s="632">
        <f>CCBASE!$I$45*B579/1000</f>
        <v>14.955000000000002</v>
      </c>
      <c r="P579" s="632"/>
      <c r="Q579" s="632">
        <f>CCBASE!$I$51</f>
        <v>2.9</v>
      </c>
      <c r="R579" s="632">
        <f>CCBASE!$I$4</f>
        <v>8.3986041999999994</v>
      </c>
      <c r="S579" s="632">
        <f>CCBASE!$I$8</f>
        <v>16.25526</v>
      </c>
      <c r="T579" s="631"/>
      <c r="U579" s="637">
        <f>CCBASE!$I$47</f>
        <v>14.41</v>
      </c>
      <c r="V579" s="632"/>
      <c r="W579" s="632">
        <f>CCBASE!$I$40*B579/1000</f>
        <v>61.962060000000001</v>
      </c>
      <c r="X579" s="632"/>
      <c r="Y579" s="632"/>
      <c r="Z579" s="632"/>
      <c r="AA579" s="632"/>
      <c r="AB579" s="632"/>
      <c r="AC579" s="632"/>
      <c r="AD579" s="651">
        <f>CCBASE!$I$32*2</f>
        <v>108.826984</v>
      </c>
      <c r="AI579" s="634"/>
      <c r="AJ579" s="634"/>
      <c r="AK579" s="635"/>
      <c r="AL579" s="635"/>
      <c r="AM579" s="635"/>
      <c r="AN579" s="635"/>
      <c r="AO579" s="635"/>
      <c r="AP579" s="635"/>
      <c r="AQ579" s="635"/>
      <c r="AR579" s="635"/>
      <c r="AS579" s="635"/>
    </row>
    <row r="580" spans="1:45" ht="17" thickBot="1" x14ac:dyDescent="0.25">
      <c r="A580" s="643" t="s">
        <v>762</v>
      </c>
      <c r="B580" s="630">
        <v>1750</v>
      </c>
      <c r="C580" s="630">
        <v>1000</v>
      </c>
      <c r="D580" s="650" t="str">
        <f t="shared" si="182"/>
        <v>KVX-M17501000</v>
      </c>
      <c r="E580" s="1046">
        <f t="shared" si="180"/>
        <v>1292.8451472250001</v>
      </c>
      <c r="F580" s="631">
        <v>18</v>
      </c>
      <c r="G580" s="632">
        <f>F580*CCBASE!$B$51</f>
        <v>648</v>
      </c>
      <c r="H580" s="632">
        <f>CCBASE!$I$12*B580/1000</f>
        <v>209.38844027500002</v>
      </c>
      <c r="I580" s="632"/>
      <c r="J580" s="632"/>
      <c r="K580" s="632"/>
      <c r="L580" s="631"/>
      <c r="M580" s="632">
        <f>CCBASE!$I$15*B580/1000</f>
        <v>139.73029875</v>
      </c>
      <c r="N580" s="632">
        <f>CCBASE!$I$7*B580/1000</f>
        <v>55.198990000000002</v>
      </c>
      <c r="O580" s="632">
        <f>CCBASE!$I$45*B580/1000</f>
        <v>17.447500000000002</v>
      </c>
      <c r="P580" s="632"/>
      <c r="Q580" s="632">
        <f>CCBASE!$I$51</f>
        <v>2.9</v>
      </c>
      <c r="R580" s="632">
        <f>CCBASE!$I$4</f>
        <v>8.3986041999999994</v>
      </c>
      <c r="S580" s="632">
        <f>CCBASE!$I$8</f>
        <v>16.25526</v>
      </c>
      <c r="T580" s="631"/>
      <c r="U580" s="637">
        <f>CCBASE!$I$47</f>
        <v>14.41</v>
      </c>
      <c r="V580" s="632"/>
      <c r="W580" s="632">
        <f>CCBASE!$I$40*B580/1000</f>
        <v>72.289069999999995</v>
      </c>
      <c r="X580" s="632"/>
      <c r="Y580" s="632"/>
      <c r="Z580" s="632"/>
      <c r="AA580" s="632"/>
      <c r="AB580" s="632"/>
      <c r="AC580" s="632"/>
      <c r="AD580" s="651">
        <f>CCBASE!$I$32*2</f>
        <v>108.826984</v>
      </c>
      <c r="AI580" s="634"/>
      <c r="AJ580" s="634"/>
      <c r="AN580" s="635"/>
      <c r="AO580" s="635"/>
      <c r="AP580" s="635"/>
      <c r="AQ580" s="635"/>
      <c r="AR580" s="635"/>
      <c r="AS580" s="635"/>
    </row>
    <row r="581" spans="1:45" ht="17" thickBot="1" x14ac:dyDescent="0.25">
      <c r="A581" s="643" t="s">
        <v>762</v>
      </c>
      <c r="B581" s="630">
        <v>2000</v>
      </c>
      <c r="C581" s="630">
        <v>1000</v>
      </c>
      <c r="D581" s="650" t="str">
        <f t="shared" si="182"/>
        <v>KVX-M20001000</v>
      </c>
      <c r="E581" s="1046">
        <f t="shared" si="180"/>
        <v>1363.4243328</v>
      </c>
      <c r="F581" s="631">
        <v>18</v>
      </c>
      <c r="G581" s="632">
        <f>F581*CCBASE!$B$51</f>
        <v>648</v>
      </c>
      <c r="H581" s="632">
        <f>CCBASE!$I$12*B581/1000</f>
        <v>239.30107460000002</v>
      </c>
      <c r="I581" s="632"/>
      <c r="J581" s="632"/>
      <c r="K581" s="632"/>
      <c r="L581" s="631"/>
      <c r="M581" s="632">
        <f>CCBASE!$I$15*B581/1000</f>
        <v>159.69177000000002</v>
      </c>
      <c r="N581" s="632">
        <f>CCBASE!$I$7*B581/1000</f>
        <v>63.084560000000003</v>
      </c>
      <c r="O581" s="632">
        <f>CCBASE!$I$45*B581/1000</f>
        <v>19.940000000000001</v>
      </c>
      <c r="P581" s="632"/>
      <c r="Q581" s="632">
        <f>CCBASE!$I$51</f>
        <v>2.9</v>
      </c>
      <c r="R581" s="632">
        <f>CCBASE!$I$4</f>
        <v>8.3986041999999994</v>
      </c>
      <c r="S581" s="632">
        <f>CCBASE!$I$8</f>
        <v>16.25526</v>
      </c>
      <c r="T581" s="631"/>
      <c r="U581" s="637">
        <f>CCBASE!$I$47</f>
        <v>14.41</v>
      </c>
      <c r="V581" s="632"/>
      <c r="W581" s="632">
        <f>CCBASE!$I$40*B581/1000</f>
        <v>82.616079999999997</v>
      </c>
      <c r="X581" s="632"/>
      <c r="Y581" s="632"/>
      <c r="Z581" s="632"/>
      <c r="AA581" s="632"/>
      <c r="AB581" s="632"/>
      <c r="AC581" s="632"/>
      <c r="AD581" s="651">
        <f>CCBASE!$I$32*2</f>
        <v>108.826984</v>
      </c>
      <c r="AI581" s="634"/>
      <c r="AJ581" s="634"/>
      <c r="AN581" s="635"/>
      <c r="AO581" s="635"/>
      <c r="AP581" s="635"/>
      <c r="AQ581" s="635"/>
      <c r="AR581" s="635"/>
      <c r="AS581" s="635"/>
    </row>
    <row r="582" spans="1:45" ht="17" thickBot="1" x14ac:dyDescent="0.25">
      <c r="A582" s="643" t="s">
        <v>762</v>
      </c>
      <c r="B582" s="630">
        <v>2250</v>
      </c>
      <c r="C582" s="630">
        <v>1000</v>
      </c>
      <c r="D582" s="650" t="str">
        <f t="shared" si="182"/>
        <v>KVX-M22501000</v>
      </c>
      <c r="E582" s="1046">
        <f t="shared" si="180"/>
        <v>1448.4135183749997</v>
      </c>
      <c r="F582" s="631">
        <v>18</v>
      </c>
      <c r="G582" s="632">
        <f>F582*CCBASE!$B$51</f>
        <v>648</v>
      </c>
      <c r="H582" s="632">
        <f>CCBASE!$I$12*B582/1000</f>
        <v>269.21370892500005</v>
      </c>
      <c r="I582" s="632"/>
      <c r="J582" s="632"/>
      <c r="K582" s="632"/>
      <c r="L582" s="631"/>
      <c r="M582" s="632">
        <f>CCBASE!$I$15*B582/1000</f>
        <v>179.65324125000001</v>
      </c>
      <c r="N582" s="632">
        <f>CCBASE!$I$7*B582/1000</f>
        <v>70.970130000000012</v>
      </c>
      <c r="O582" s="632">
        <f>CCBASE!$I$45*B582/1000</f>
        <v>22.432500000000001</v>
      </c>
      <c r="P582" s="632"/>
      <c r="Q582" s="632">
        <f>CCBASE!$I$51</f>
        <v>2.9</v>
      </c>
      <c r="R582" s="632">
        <f>CCBASE!$I$4</f>
        <v>8.3986041999999994</v>
      </c>
      <c r="S582" s="632">
        <f>CCBASE!$I$8</f>
        <v>16.25526</v>
      </c>
      <c r="T582" s="631"/>
      <c r="U582" s="637">
        <f>CCBASE!$I$47*2</f>
        <v>28.82</v>
      </c>
      <c r="V582" s="632"/>
      <c r="W582" s="632">
        <f>CCBASE!$I$40*B582/1000</f>
        <v>92.943089999999998</v>
      </c>
      <c r="X582" s="632"/>
      <c r="Y582" s="632"/>
      <c r="Z582" s="632"/>
      <c r="AA582" s="632"/>
      <c r="AB582" s="632"/>
      <c r="AC582" s="632"/>
      <c r="AD582" s="651">
        <f>CCBASE!$I$32*2</f>
        <v>108.826984</v>
      </c>
      <c r="AI582" s="634"/>
      <c r="AJ582" s="634"/>
      <c r="AN582" s="635"/>
      <c r="AO582" s="635"/>
      <c r="AP582" s="635"/>
      <c r="AQ582" s="635"/>
      <c r="AR582" s="635"/>
      <c r="AS582" s="635"/>
    </row>
    <row r="583" spans="1:45" ht="17" thickBot="1" x14ac:dyDescent="0.25">
      <c r="A583" s="643" t="s">
        <v>762</v>
      </c>
      <c r="B583" s="630">
        <v>2500</v>
      </c>
      <c r="C583" s="630">
        <v>1000</v>
      </c>
      <c r="D583" s="650" t="str">
        <f t="shared" si="182"/>
        <v>KVX-M25001000</v>
      </c>
      <c r="E583" s="1046">
        <f t="shared" si="180"/>
        <v>1554.9927039499999</v>
      </c>
      <c r="F583" s="631">
        <v>19</v>
      </c>
      <c r="G583" s="632">
        <f>F583*CCBASE!$B$51</f>
        <v>684</v>
      </c>
      <c r="H583" s="632">
        <f>CCBASE!$I$12*B583/1000</f>
        <v>299.12634325000005</v>
      </c>
      <c r="I583" s="632"/>
      <c r="J583" s="632"/>
      <c r="K583" s="632"/>
      <c r="L583" s="631"/>
      <c r="M583" s="632">
        <f>CCBASE!$I$15*B583/1000</f>
        <v>199.61471250000002</v>
      </c>
      <c r="N583" s="632">
        <f>CCBASE!$I$7*B583/1000</f>
        <v>78.855699999999999</v>
      </c>
      <c r="O583" s="632">
        <f>CCBASE!$I$45*B583/1000</f>
        <v>24.925000000000001</v>
      </c>
      <c r="P583" s="632"/>
      <c r="Q583" s="632">
        <f>CCBASE!$I$51</f>
        <v>2.9</v>
      </c>
      <c r="R583" s="632">
        <f>CCBASE!$I$4</f>
        <v>8.3986041999999994</v>
      </c>
      <c r="S583" s="632">
        <f>CCBASE!$I$8</f>
        <v>16.25526</v>
      </c>
      <c r="T583" s="631"/>
      <c r="U583" s="637">
        <f>CCBASE!$I$47*2</f>
        <v>28.82</v>
      </c>
      <c r="V583" s="632"/>
      <c r="W583" s="632">
        <f>CCBASE!$I$40*B583/1000</f>
        <v>103.27009999999999</v>
      </c>
      <c r="X583" s="632"/>
      <c r="Y583" s="632"/>
      <c r="Z583" s="632"/>
      <c r="AA583" s="632"/>
      <c r="AB583" s="632"/>
      <c r="AC583" s="632"/>
      <c r="AD583" s="651">
        <f>CCBASE!$I$32*2</f>
        <v>108.826984</v>
      </c>
      <c r="AI583" s="634"/>
      <c r="AJ583" s="634"/>
      <c r="AN583" s="635"/>
      <c r="AO583" s="635"/>
      <c r="AP583" s="635"/>
      <c r="AQ583" s="635"/>
      <c r="AR583" s="635"/>
      <c r="AS583" s="635"/>
    </row>
    <row r="584" spans="1:45" ht="17" thickBot="1" x14ac:dyDescent="0.25">
      <c r="A584" s="643" t="s">
        <v>762</v>
      </c>
      <c r="B584" s="630">
        <v>2750</v>
      </c>
      <c r="C584" s="630">
        <v>1000</v>
      </c>
      <c r="D584" s="650" t="str">
        <f t="shared" si="182"/>
        <v>KVX-M27501000</v>
      </c>
      <c r="E584" s="1046">
        <f t="shared" si="180"/>
        <v>1625.5718895249997</v>
      </c>
      <c r="F584" s="631">
        <v>19</v>
      </c>
      <c r="G584" s="632">
        <f>F584*CCBASE!$B$51</f>
        <v>684</v>
      </c>
      <c r="H584" s="632">
        <f>CCBASE!$I$12*B584/1000</f>
        <v>329.03897757500005</v>
      </c>
      <c r="I584" s="632"/>
      <c r="J584" s="632"/>
      <c r="K584" s="632"/>
      <c r="L584" s="631"/>
      <c r="M584" s="632">
        <f>CCBASE!$I$15*B584/1000</f>
        <v>219.57618375000001</v>
      </c>
      <c r="N584" s="632">
        <f>CCBASE!$I$7*B584/1000</f>
        <v>86.74127</v>
      </c>
      <c r="O584" s="632">
        <f>CCBASE!$I$45*B584/1000</f>
        <v>27.4175</v>
      </c>
      <c r="P584" s="632"/>
      <c r="Q584" s="632">
        <f>CCBASE!$I$51</f>
        <v>2.9</v>
      </c>
      <c r="R584" s="632">
        <f>CCBASE!$I$4</f>
        <v>8.3986041999999994</v>
      </c>
      <c r="S584" s="632">
        <f>CCBASE!$I$8</f>
        <v>16.25526</v>
      </c>
      <c r="T584" s="631"/>
      <c r="U584" s="637">
        <f>CCBASE!$I$47*2</f>
        <v>28.82</v>
      </c>
      <c r="V584" s="632"/>
      <c r="W584" s="632">
        <f>CCBASE!$I$40*B584/1000</f>
        <v>113.59711</v>
      </c>
      <c r="X584" s="632"/>
      <c r="Y584" s="632"/>
      <c r="Z584" s="632"/>
      <c r="AA584" s="632"/>
      <c r="AB584" s="632"/>
      <c r="AC584" s="632"/>
      <c r="AD584" s="651">
        <f>CCBASE!$I$32*2</f>
        <v>108.826984</v>
      </c>
      <c r="AI584" s="634"/>
      <c r="AJ584" s="634"/>
      <c r="AN584" s="635"/>
      <c r="AO584" s="635"/>
      <c r="AP584" s="635"/>
      <c r="AQ584" s="635"/>
      <c r="AR584" s="635"/>
      <c r="AS584" s="635"/>
    </row>
    <row r="585" spans="1:45" ht="17" thickBot="1" x14ac:dyDescent="0.25">
      <c r="A585" s="643" t="s">
        <v>762</v>
      </c>
      <c r="B585" s="630">
        <v>3000</v>
      </c>
      <c r="C585" s="630">
        <v>1000</v>
      </c>
      <c r="D585" s="650" t="str">
        <f t="shared" si="182"/>
        <v>KVX-M30001000</v>
      </c>
      <c r="E585" s="1046">
        <f t="shared" si="180"/>
        <v>1696.1510750999998</v>
      </c>
      <c r="F585" s="631">
        <v>19</v>
      </c>
      <c r="G585" s="632">
        <f>F585*CCBASE!$B$51</f>
        <v>684</v>
      </c>
      <c r="H585" s="632">
        <f>CCBASE!$I$12*B585/1000</f>
        <v>358.95161190000005</v>
      </c>
      <c r="I585" s="632"/>
      <c r="J585" s="632"/>
      <c r="K585" s="632"/>
      <c r="L585" s="631"/>
      <c r="M585" s="632">
        <f>CCBASE!$I$15*B585/1000</f>
        <v>239.53765500000003</v>
      </c>
      <c r="N585" s="632">
        <f>CCBASE!$I$7*B585/1000</f>
        <v>94.626840000000016</v>
      </c>
      <c r="O585" s="632">
        <f>CCBASE!$I$45*B585/1000</f>
        <v>29.910000000000004</v>
      </c>
      <c r="P585" s="632"/>
      <c r="Q585" s="632">
        <f>CCBASE!$I$51</f>
        <v>2.9</v>
      </c>
      <c r="R585" s="632">
        <f>CCBASE!$I$4</f>
        <v>8.3986041999999994</v>
      </c>
      <c r="S585" s="632">
        <f>CCBASE!$I$8</f>
        <v>16.25526</v>
      </c>
      <c r="T585" s="631"/>
      <c r="U585" s="637">
        <f>CCBASE!$I$47*2</f>
        <v>28.82</v>
      </c>
      <c r="V585" s="632"/>
      <c r="W585" s="632">
        <f>CCBASE!$I$40*B585/1000</f>
        <v>123.92412</v>
      </c>
      <c r="X585" s="632"/>
      <c r="Y585" s="632"/>
      <c r="Z585" s="632"/>
      <c r="AA585" s="632"/>
      <c r="AB585" s="632"/>
      <c r="AC585" s="632"/>
      <c r="AD585" s="651">
        <f>CCBASE!$I$32*2</f>
        <v>108.826984</v>
      </c>
      <c r="AI585" s="634"/>
      <c r="AJ585" s="634"/>
      <c r="AN585" s="635"/>
      <c r="AO585" s="635"/>
      <c r="AP585" s="635"/>
      <c r="AQ585" s="635"/>
      <c r="AR585" s="635"/>
      <c r="AS585" s="635"/>
    </row>
    <row r="586" spans="1:45" ht="17" thickBot="1" x14ac:dyDescent="0.25">
      <c r="A586" s="643" t="s">
        <v>762</v>
      </c>
      <c r="B586" s="630">
        <v>1000</v>
      </c>
      <c r="C586" s="630">
        <v>1250</v>
      </c>
      <c r="D586" s="650" t="str">
        <f t="shared" si="182"/>
        <v>KVX-M10001250</v>
      </c>
      <c r="E586" s="1046">
        <f t="shared" si="180"/>
        <v>1045.1075905</v>
      </c>
      <c r="F586" s="646">
        <v>17</v>
      </c>
      <c r="G586" s="632">
        <f>F586*CCBASE!$B$51</f>
        <v>612</v>
      </c>
      <c r="H586" s="632">
        <f>CCBASE!$I$12*B586/1000</f>
        <v>119.65053730000001</v>
      </c>
      <c r="I586" s="632"/>
      <c r="J586" s="632"/>
      <c r="K586" s="632"/>
      <c r="L586" s="631"/>
      <c r="M586" s="632">
        <f>CCBASE!$I$15*B586/1000</f>
        <v>79.84588500000001</v>
      </c>
      <c r="N586" s="632">
        <f>CCBASE!$I$7*B586/1000</f>
        <v>31.542280000000002</v>
      </c>
      <c r="O586" s="632">
        <f>CCBASE!$I$45*B586/1000</f>
        <v>9.9700000000000006</v>
      </c>
      <c r="P586" s="632"/>
      <c r="Q586" s="632">
        <f>CCBASE!$I$51</f>
        <v>2.9</v>
      </c>
      <c r="R586" s="632">
        <f>CCBASE!$I$4</f>
        <v>8.3986041999999994</v>
      </c>
      <c r="S586" s="632">
        <f>CCBASE!$I$8</f>
        <v>16.25526</v>
      </c>
      <c r="T586" s="631"/>
      <c r="U586" s="637">
        <f>CCBASE!$I$47</f>
        <v>14.41</v>
      </c>
      <c r="V586" s="632"/>
      <c r="W586" s="632">
        <f>CCBASE!$I$40*B586/1000</f>
        <v>41.308039999999998</v>
      </c>
      <c r="X586" s="632"/>
      <c r="Y586" s="632"/>
      <c r="Z586" s="632"/>
      <c r="AA586" s="632"/>
      <c r="AB586" s="632"/>
      <c r="AC586" s="632"/>
      <c r="AD586" s="651">
        <f>CCBASE!$I$32*2</f>
        <v>108.826984</v>
      </c>
      <c r="AI586" s="634"/>
      <c r="AJ586" s="634"/>
      <c r="AK586" s="635"/>
      <c r="AL586" s="635"/>
      <c r="AM586" s="635"/>
      <c r="AN586" s="635"/>
      <c r="AO586" s="635"/>
      <c r="AP586" s="635"/>
      <c r="AQ586" s="635"/>
      <c r="AR586" s="635"/>
      <c r="AS586" s="635"/>
    </row>
    <row r="587" spans="1:45" ht="17" thickBot="1" x14ac:dyDescent="0.25">
      <c r="A587" s="643" t="s">
        <v>762</v>
      </c>
      <c r="B587" s="630">
        <v>1250</v>
      </c>
      <c r="C587" s="630">
        <v>1250</v>
      </c>
      <c r="D587" s="650" t="str">
        <f t="shared" si="182"/>
        <v>KVX-M12501250</v>
      </c>
      <c r="E587" s="1046">
        <f t="shared" si="180"/>
        <v>1115.6867760749999</v>
      </c>
      <c r="F587" s="631">
        <v>17</v>
      </c>
      <c r="G587" s="632">
        <f>F587*CCBASE!$B$51</f>
        <v>612</v>
      </c>
      <c r="H587" s="632">
        <f>CCBASE!$I$12*B587/1000</f>
        <v>149.56317162500002</v>
      </c>
      <c r="I587" s="632"/>
      <c r="J587" s="632"/>
      <c r="K587" s="632"/>
      <c r="L587" s="631"/>
      <c r="M587" s="632">
        <f>CCBASE!$I$15*B587/1000</f>
        <v>99.807356250000012</v>
      </c>
      <c r="N587" s="632">
        <f>CCBASE!$I$7*B587/1000</f>
        <v>39.427849999999999</v>
      </c>
      <c r="O587" s="632">
        <f>CCBASE!$I$45*B587/1000</f>
        <v>12.4625</v>
      </c>
      <c r="P587" s="632"/>
      <c r="Q587" s="632">
        <f>CCBASE!$I$51</f>
        <v>2.9</v>
      </c>
      <c r="R587" s="632">
        <f>CCBASE!$I$4</f>
        <v>8.3986041999999994</v>
      </c>
      <c r="S587" s="632">
        <f>CCBASE!$I$8</f>
        <v>16.25526</v>
      </c>
      <c r="T587" s="631"/>
      <c r="U587" s="637">
        <f>CCBASE!$I$47</f>
        <v>14.41</v>
      </c>
      <c r="V587" s="632"/>
      <c r="W587" s="632">
        <f>CCBASE!$I$40*B587/1000</f>
        <v>51.635049999999993</v>
      </c>
      <c r="X587" s="632"/>
      <c r="Y587" s="632"/>
      <c r="Z587" s="632"/>
      <c r="AA587" s="632"/>
      <c r="AB587" s="632"/>
      <c r="AC587" s="632"/>
      <c r="AD587" s="651">
        <f>CCBASE!$I$32*2</f>
        <v>108.826984</v>
      </c>
      <c r="AI587" s="634"/>
      <c r="AJ587" s="634"/>
      <c r="AK587" s="635"/>
      <c r="AL587" s="635"/>
      <c r="AM587" s="635"/>
      <c r="AN587" s="635"/>
      <c r="AO587" s="635"/>
      <c r="AP587" s="635"/>
      <c r="AQ587" s="635"/>
      <c r="AR587" s="635"/>
      <c r="AS587" s="635"/>
    </row>
    <row r="588" spans="1:45" ht="17" thickBot="1" x14ac:dyDescent="0.25">
      <c r="A588" s="643" t="s">
        <v>762</v>
      </c>
      <c r="B588" s="630">
        <v>1500</v>
      </c>
      <c r="C588" s="630">
        <v>1250</v>
      </c>
      <c r="D588" s="650" t="str">
        <f t="shared" si="182"/>
        <v>KVX-M15001250</v>
      </c>
      <c r="E588" s="1046">
        <f t="shared" si="180"/>
        <v>1186.26596165</v>
      </c>
      <c r="F588" s="631">
        <v>17</v>
      </c>
      <c r="G588" s="632">
        <f>F588*CCBASE!$B$51</f>
        <v>612</v>
      </c>
      <c r="H588" s="632">
        <f>CCBASE!$I$12*B588/1000</f>
        <v>179.47580595000002</v>
      </c>
      <c r="I588" s="632"/>
      <c r="J588" s="632"/>
      <c r="K588" s="632"/>
      <c r="L588" s="631"/>
      <c r="M588" s="632">
        <f>CCBASE!$I$15*B588/1000</f>
        <v>119.76882750000001</v>
      </c>
      <c r="N588" s="632">
        <f>CCBASE!$I$7*B588/1000</f>
        <v>47.313420000000008</v>
      </c>
      <c r="O588" s="632">
        <f>CCBASE!$I$45*B588/1000</f>
        <v>14.955000000000002</v>
      </c>
      <c r="P588" s="632"/>
      <c r="Q588" s="632">
        <f>CCBASE!$I$51</f>
        <v>2.9</v>
      </c>
      <c r="R588" s="632">
        <f>CCBASE!$I$4</f>
        <v>8.3986041999999994</v>
      </c>
      <c r="S588" s="632">
        <f>CCBASE!$I$8</f>
        <v>16.25526</v>
      </c>
      <c r="T588" s="631"/>
      <c r="U588" s="637">
        <f>CCBASE!$I$47</f>
        <v>14.41</v>
      </c>
      <c r="V588" s="632"/>
      <c r="W588" s="632">
        <f>CCBASE!$I$40*B588/1000</f>
        <v>61.962060000000001</v>
      </c>
      <c r="X588" s="632"/>
      <c r="Y588" s="632"/>
      <c r="Z588" s="632"/>
      <c r="AA588" s="632"/>
      <c r="AB588" s="632"/>
      <c r="AC588" s="632"/>
      <c r="AD588" s="651">
        <f>CCBASE!$I$32*2</f>
        <v>108.826984</v>
      </c>
      <c r="AI588" s="634"/>
      <c r="AJ588" s="634"/>
      <c r="AK588" s="635"/>
      <c r="AL588" s="635"/>
      <c r="AM588" s="635"/>
      <c r="AN588" s="635"/>
      <c r="AO588" s="635"/>
      <c r="AP588" s="635"/>
      <c r="AQ588" s="635"/>
      <c r="AR588" s="635"/>
      <c r="AS588" s="635"/>
    </row>
    <row r="589" spans="1:45" ht="17" thickBot="1" x14ac:dyDescent="0.25">
      <c r="A589" s="643" t="s">
        <v>762</v>
      </c>
      <c r="B589" s="630">
        <v>1750</v>
      </c>
      <c r="C589" s="630">
        <v>1250</v>
      </c>
      <c r="D589" s="650" t="str">
        <f t="shared" si="182"/>
        <v>KVX-M17501250</v>
      </c>
      <c r="E589" s="1046">
        <f t="shared" si="180"/>
        <v>1292.8451472250001</v>
      </c>
      <c r="F589" s="631">
        <v>18</v>
      </c>
      <c r="G589" s="632">
        <f>F589*CCBASE!$B$51</f>
        <v>648</v>
      </c>
      <c r="H589" s="632">
        <f>CCBASE!$I$12*B589/1000</f>
        <v>209.38844027500002</v>
      </c>
      <c r="I589" s="632"/>
      <c r="J589" s="632"/>
      <c r="K589" s="632"/>
      <c r="L589" s="631"/>
      <c r="M589" s="632">
        <f>CCBASE!$I$15*B589/1000</f>
        <v>139.73029875</v>
      </c>
      <c r="N589" s="632">
        <f>CCBASE!$I$7*B589/1000</f>
        <v>55.198990000000002</v>
      </c>
      <c r="O589" s="632">
        <f>CCBASE!$I$45*B589/1000</f>
        <v>17.447500000000002</v>
      </c>
      <c r="P589" s="632"/>
      <c r="Q589" s="632">
        <f>CCBASE!$I$51</f>
        <v>2.9</v>
      </c>
      <c r="R589" s="632">
        <f>CCBASE!$I$4</f>
        <v>8.3986041999999994</v>
      </c>
      <c r="S589" s="632">
        <f>CCBASE!$I$8</f>
        <v>16.25526</v>
      </c>
      <c r="T589" s="631"/>
      <c r="U589" s="637">
        <f>CCBASE!$I$47</f>
        <v>14.41</v>
      </c>
      <c r="V589" s="632"/>
      <c r="W589" s="632">
        <f>CCBASE!$I$40*B589/1000</f>
        <v>72.289069999999995</v>
      </c>
      <c r="X589" s="632"/>
      <c r="Y589" s="632"/>
      <c r="Z589" s="632"/>
      <c r="AA589" s="632"/>
      <c r="AB589" s="632"/>
      <c r="AC589" s="632"/>
      <c r="AD589" s="651">
        <f>CCBASE!$I$32*2</f>
        <v>108.826984</v>
      </c>
      <c r="AI589" s="634"/>
      <c r="AJ589" s="634"/>
      <c r="AN589" s="635"/>
      <c r="AO589" s="635"/>
      <c r="AP589" s="635"/>
      <c r="AQ589" s="635"/>
      <c r="AR589" s="635"/>
      <c r="AS589" s="635"/>
    </row>
    <row r="590" spans="1:45" ht="17" thickBot="1" x14ac:dyDescent="0.25">
      <c r="A590" s="643" t="s">
        <v>762</v>
      </c>
      <c r="B590" s="630">
        <v>2000</v>
      </c>
      <c r="C590" s="630">
        <v>1250</v>
      </c>
      <c r="D590" s="650" t="str">
        <f t="shared" si="182"/>
        <v>KVX-M20001250</v>
      </c>
      <c r="E590" s="1046">
        <f t="shared" si="180"/>
        <v>1363.4243328</v>
      </c>
      <c r="F590" s="631">
        <v>18</v>
      </c>
      <c r="G590" s="632">
        <f>F590*CCBASE!$B$51</f>
        <v>648</v>
      </c>
      <c r="H590" s="632">
        <f>CCBASE!$I$12*B590/1000</f>
        <v>239.30107460000002</v>
      </c>
      <c r="I590" s="632"/>
      <c r="J590" s="632"/>
      <c r="K590" s="632"/>
      <c r="L590" s="631"/>
      <c r="M590" s="632">
        <f>CCBASE!$I$15*B590/1000</f>
        <v>159.69177000000002</v>
      </c>
      <c r="N590" s="632">
        <f>CCBASE!$I$7*B590/1000</f>
        <v>63.084560000000003</v>
      </c>
      <c r="O590" s="632">
        <f>CCBASE!$I$45*B590/1000</f>
        <v>19.940000000000001</v>
      </c>
      <c r="P590" s="632"/>
      <c r="Q590" s="632">
        <f>CCBASE!$I$51</f>
        <v>2.9</v>
      </c>
      <c r="R590" s="632">
        <f>CCBASE!$I$4</f>
        <v>8.3986041999999994</v>
      </c>
      <c r="S590" s="632">
        <f>CCBASE!$I$8</f>
        <v>16.25526</v>
      </c>
      <c r="T590" s="631"/>
      <c r="U590" s="637">
        <f>CCBASE!$I$47</f>
        <v>14.41</v>
      </c>
      <c r="V590" s="632"/>
      <c r="W590" s="632">
        <f>CCBASE!$I$40*B590/1000</f>
        <v>82.616079999999997</v>
      </c>
      <c r="X590" s="632"/>
      <c r="Y590" s="632"/>
      <c r="Z590" s="632"/>
      <c r="AA590" s="632"/>
      <c r="AB590" s="632"/>
      <c r="AC590" s="632"/>
      <c r="AD590" s="651">
        <f>CCBASE!$I$32*2</f>
        <v>108.826984</v>
      </c>
      <c r="AI590" s="634"/>
      <c r="AJ590" s="634"/>
      <c r="AN590" s="635"/>
      <c r="AO590" s="635"/>
      <c r="AP590" s="635"/>
      <c r="AQ590" s="635"/>
      <c r="AR590" s="635"/>
      <c r="AS590" s="635"/>
    </row>
    <row r="591" spans="1:45" ht="17" thickBot="1" x14ac:dyDescent="0.25">
      <c r="A591" s="643" t="s">
        <v>762</v>
      </c>
      <c r="B591" s="630">
        <v>2250</v>
      </c>
      <c r="C591" s="630">
        <v>1250</v>
      </c>
      <c r="D591" s="650" t="str">
        <f t="shared" si="182"/>
        <v>KVX-M22501250</v>
      </c>
      <c r="E591" s="1046">
        <f t="shared" si="180"/>
        <v>1448.4135183749997</v>
      </c>
      <c r="F591" s="631">
        <v>18</v>
      </c>
      <c r="G591" s="632">
        <f>F591*CCBASE!$B$51</f>
        <v>648</v>
      </c>
      <c r="H591" s="632">
        <f>CCBASE!$I$12*B591/1000</f>
        <v>269.21370892500005</v>
      </c>
      <c r="I591" s="632"/>
      <c r="J591" s="632"/>
      <c r="K591" s="632"/>
      <c r="L591" s="631"/>
      <c r="M591" s="632">
        <f>CCBASE!$I$15*B591/1000</f>
        <v>179.65324125000001</v>
      </c>
      <c r="N591" s="632">
        <f>CCBASE!$I$7*B591/1000</f>
        <v>70.970130000000012</v>
      </c>
      <c r="O591" s="632">
        <f>CCBASE!$I$45*B591/1000</f>
        <v>22.432500000000001</v>
      </c>
      <c r="P591" s="632"/>
      <c r="Q591" s="632">
        <f>CCBASE!$I$51</f>
        <v>2.9</v>
      </c>
      <c r="R591" s="632">
        <f>CCBASE!$I$4</f>
        <v>8.3986041999999994</v>
      </c>
      <c r="S591" s="632">
        <f>CCBASE!$I$8</f>
        <v>16.25526</v>
      </c>
      <c r="T591" s="631"/>
      <c r="U591" s="637">
        <f>CCBASE!$I$47*2</f>
        <v>28.82</v>
      </c>
      <c r="V591" s="632"/>
      <c r="W591" s="632">
        <f>CCBASE!$I$40*B591/1000</f>
        <v>92.943089999999998</v>
      </c>
      <c r="X591" s="632"/>
      <c r="Y591" s="632"/>
      <c r="Z591" s="632"/>
      <c r="AA591" s="632"/>
      <c r="AB591" s="632"/>
      <c r="AC591" s="632"/>
      <c r="AD591" s="651">
        <f>CCBASE!$I$32*2</f>
        <v>108.826984</v>
      </c>
      <c r="AI591" s="634"/>
      <c r="AJ591" s="634"/>
      <c r="AN591" s="635"/>
      <c r="AO591" s="635"/>
      <c r="AP591" s="635"/>
      <c r="AQ591" s="635"/>
      <c r="AR591" s="635"/>
      <c r="AS591" s="635"/>
    </row>
    <row r="592" spans="1:45" ht="17" thickBot="1" x14ac:dyDescent="0.25">
      <c r="A592" s="643" t="s">
        <v>762</v>
      </c>
      <c r="B592" s="630">
        <v>2500</v>
      </c>
      <c r="C592" s="630">
        <v>1250</v>
      </c>
      <c r="D592" s="650" t="str">
        <f t="shared" si="182"/>
        <v>KVX-M25001250</v>
      </c>
      <c r="E592" s="1046">
        <f t="shared" si="180"/>
        <v>1554.9927039499999</v>
      </c>
      <c r="F592" s="631">
        <v>19</v>
      </c>
      <c r="G592" s="632">
        <f>F592*CCBASE!$B$51</f>
        <v>684</v>
      </c>
      <c r="H592" s="632">
        <f>CCBASE!$I$12*B592/1000</f>
        <v>299.12634325000005</v>
      </c>
      <c r="I592" s="632"/>
      <c r="J592" s="632"/>
      <c r="K592" s="632"/>
      <c r="L592" s="631"/>
      <c r="M592" s="632">
        <f>CCBASE!$I$15*B592/1000</f>
        <v>199.61471250000002</v>
      </c>
      <c r="N592" s="632">
        <f>CCBASE!$I$7*B592/1000</f>
        <v>78.855699999999999</v>
      </c>
      <c r="O592" s="632">
        <f>CCBASE!$I$45*B592/1000</f>
        <v>24.925000000000001</v>
      </c>
      <c r="P592" s="632"/>
      <c r="Q592" s="632">
        <f>CCBASE!$I$51</f>
        <v>2.9</v>
      </c>
      <c r="R592" s="632">
        <f>CCBASE!$I$4</f>
        <v>8.3986041999999994</v>
      </c>
      <c r="S592" s="632">
        <f>CCBASE!$I$8</f>
        <v>16.25526</v>
      </c>
      <c r="T592" s="631"/>
      <c r="U592" s="637">
        <f>CCBASE!$I$47*2</f>
        <v>28.82</v>
      </c>
      <c r="V592" s="632"/>
      <c r="W592" s="632">
        <f>CCBASE!$I$40*B592/1000</f>
        <v>103.27009999999999</v>
      </c>
      <c r="X592" s="632"/>
      <c r="Y592" s="632"/>
      <c r="Z592" s="632"/>
      <c r="AA592" s="632"/>
      <c r="AB592" s="632"/>
      <c r="AC592" s="632"/>
      <c r="AD592" s="651">
        <f>CCBASE!$I$32*2</f>
        <v>108.826984</v>
      </c>
      <c r="AI592" s="634"/>
      <c r="AJ592" s="634"/>
      <c r="AN592" s="635"/>
      <c r="AO592" s="635"/>
      <c r="AP592" s="635"/>
      <c r="AQ592" s="635"/>
      <c r="AR592" s="635"/>
      <c r="AS592" s="635"/>
    </row>
    <row r="593" spans="1:45" ht="17" thickBot="1" x14ac:dyDescent="0.25">
      <c r="A593" s="643" t="s">
        <v>762</v>
      </c>
      <c r="B593" s="630">
        <v>2750</v>
      </c>
      <c r="C593" s="630">
        <v>1250</v>
      </c>
      <c r="D593" s="650" t="str">
        <f t="shared" si="182"/>
        <v>KVX-M27501250</v>
      </c>
      <c r="E593" s="1046">
        <f t="shared" si="180"/>
        <v>1625.5718895249997</v>
      </c>
      <c r="F593" s="631">
        <v>19</v>
      </c>
      <c r="G593" s="632">
        <f>F593*CCBASE!$B$51</f>
        <v>684</v>
      </c>
      <c r="H593" s="632">
        <f>CCBASE!$I$12*B593/1000</f>
        <v>329.03897757500005</v>
      </c>
      <c r="I593" s="632"/>
      <c r="J593" s="632"/>
      <c r="K593" s="632"/>
      <c r="L593" s="631"/>
      <c r="M593" s="632">
        <f>CCBASE!$I$15*B593/1000</f>
        <v>219.57618375000001</v>
      </c>
      <c r="N593" s="632">
        <f>CCBASE!$I$7*B593/1000</f>
        <v>86.74127</v>
      </c>
      <c r="O593" s="632">
        <f>CCBASE!$I$45*B593/1000</f>
        <v>27.4175</v>
      </c>
      <c r="P593" s="632"/>
      <c r="Q593" s="632">
        <f>CCBASE!$I$51</f>
        <v>2.9</v>
      </c>
      <c r="R593" s="632">
        <f>CCBASE!$I$4</f>
        <v>8.3986041999999994</v>
      </c>
      <c r="S593" s="632">
        <f>CCBASE!$I$8</f>
        <v>16.25526</v>
      </c>
      <c r="T593" s="631"/>
      <c r="U593" s="637">
        <f>CCBASE!$I$47*2</f>
        <v>28.82</v>
      </c>
      <c r="V593" s="632"/>
      <c r="W593" s="632">
        <f>CCBASE!$I$40*B593/1000</f>
        <v>113.59711</v>
      </c>
      <c r="X593" s="632"/>
      <c r="Y593" s="632"/>
      <c r="Z593" s="632"/>
      <c r="AA593" s="632"/>
      <c r="AB593" s="632"/>
      <c r="AC593" s="632"/>
      <c r="AD593" s="651">
        <f>CCBASE!$I$32*2</f>
        <v>108.826984</v>
      </c>
      <c r="AI593" s="634"/>
      <c r="AJ593" s="634"/>
      <c r="AN593" s="635"/>
      <c r="AO593" s="635"/>
      <c r="AP593" s="635"/>
      <c r="AQ593" s="635"/>
      <c r="AR593" s="635"/>
      <c r="AS593" s="635"/>
    </row>
    <row r="594" spans="1:45" ht="17" thickBot="1" x14ac:dyDescent="0.25">
      <c r="A594" s="643" t="s">
        <v>762</v>
      </c>
      <c r="B594" s="630">
        <v>3000</v>
      </c>
      <c r="C594" s="630">
        <v>1250</v>
      </c>
      <c r="D594" s="650" t="str">
        <f t="shared" si="182"/>
        <v>KVX-M30001250</v>
      </c>
      <c r="E594" s="1046">
        <f t="shared" si="180"/>
        <v>1696.1510750999998</v>
      </c>
      <c r="F594" s="631">
        <v>19</v>
      </c>
      <c r="G594" s="632">
        <f>F594*CCBASE!$B$51</f>
        <v>684</v>
      </c>
      <c r="H594" s="632">
        <f>CCBASE!$I$12*B594/1000</f>
        <v>358.95161190000005</v>
      </c>
      <c r="I594" s="632"/>
      <c r="J594" s="632"/>
      <c r="K594" s="632"/>
      <c r="L594" s="631"/>
      <c r="M594" s="632">
        <f>CCBASE!$I$15*B594/1000</f>
        <v>239.53765500000003</v>
      </c>
      <c r="N594" s="632">
        <f>CCBASE!$I$7*B594/1000</f>
        <v>94.626840000000016</v>
      </c>
      <c r="O594" s="632">
        <f>CCBASE!$I$45*B594/1000</f>
        <v>29.910000000000004</v>
      </c>
      <c r="P594" s="632"/>
      <c r="Q594" s="632">
        <f>CCBASE!$I$51</f>
        <v>2.9</v>
      </c>
      <c r="R594" s="632">
        <f>CCBASE!$I$4</f>
        <v>8.3986041999999994</v>
      </c>
      <c r="S594" s="632">
        <f>CCBASE!$I$8</f>
        <v>16.25526</v>
      </c>
      <c r="T594" s="631"/>
      <c r="U594" s="637">
        <f>CCBASE!$I$47*2</f>
        <v>28.82</v>
      </c>
      <c r="V594" s="632"/>
      <c r="W594" s="632">
        <f>CCBASE!$I$40*B594/1000</f>
        <v>123.92412</v>
      </c>
      <c r="X594" s="632"/>
      <c r="Y594" s="632"/>
      <c r="Z594" s="632"/>
      <c r="AA594" s="632"/>
      <c r="AB594" s="632"/>
      <c r="AC594" s="632"/>
      <c r="AD594" s="651">
        <f>CCBASE!$I$32*2</f>
        <v>108.826984</v>
      </c>
      <c r="AI594" s="634"/>
      <c r="AJ594" s="634"/>
      <c r="AN594" s="635"/>
      <c r="AO594" s="635"/>
      <c r="AP594" s="635"/>
      <c r="AQ594" s="635"/>
      <c r="AR594" s="635"/>
      <c r="AS594" s="635"/>
    </row>
    <row r="595" spans="1:45" ht="17" thickBot="1" x14ac:dyDescent="0.25">
      <c r="A595" s="643" t="s">
        <v>762</v>
      </c>
      <c r="B595" s="630">
        <v>1000</v>
      </c>
      <c r="C595" s="630">
        <v>1500</v>
      </c>
      <c r="D595" s="650" t="str">
        <f t="shared" si="182"/>
        <v>KVX-M10001500</v>
      </c>
      <c r="E595" s="1046">
        <f t="shared" si="180"/>
        <v>1090.0578664999998</v>
      </c>
      <c r="F595" s="646">
        <v>17</v>
      </c>
      <c r="G595" s="632">
        <f>F595*CCBASE!$B$51</f>
        <v>612</v>
      </c>
      <c r="H595" s="632">
        <f>CCBASE!$I$12*B595/1000</f>
        <v>119.65053730000001</v>
      </c>
      <c r="I595" s="632"/>
      <c r="J595" s="632"/>
      <c r="K595" s="632"/>
      <c r="L595" s="631"/>
      <c r="M595" s="632">
        <f>CCBASE!$I$15*B595/1000</f>
        <v>79.84588500000001</v>
      </c>
      <c r="N595" s="632">
        <f>CCBASE!$I$7*B595/1000</f>
        <v>31.542280000000002</v>
      </c>
      <c r="O595" s="632">
        <f>CCBASE!$I$45*B595/1000</f>
        <v>9.9700000000000006</v>
      </c>
      <c r="P595" s="632"/>
      <c r="Q595" s="632">
        <f>CCBASE!$I$51</f>
        <v>2.9</v>
      </c>
      <c r="R595" s="632">
        <f>CCBASE!$I$4</f>
        <v>8.3986041999999994</v>
      </c>
      <c r="S595" s="632">
        <f>CCBASE!$I$8</f>
        <v>16.25526</v>
      </c>
      <c r="T595" s="631"/>
      <c r="U595" s="637">
        <f>CCBASE!$I$47</f>
        <v>14.41</v>
      </c>
      <c r="V595" s="632"/>
      <c r="W595" s="632">
        <f>CCBASE!$I$41*B595/1000</f>
        <v>59.051569999999998</v>
      </c>
      <c r="X595" s="632"/>
      <c r="Y595" s="632"/>
      <c r="Z595" s="632"/>
      <c r="AA595" s="632"/>
      <c r="AB595" s="632"/>
      <c r="AC595" s="632"/>
      <c r="AD595" s="651">
        <f>CCBASE!$I$33*2</f>
        <v>136.03372999999999</v>
      </c>
      <c r="AI595" s="634"/>
      <c r="AJ595" s="634"/>
      <c r="AN595" s="635"/>
      <c r="AO595" s="635"/>
      <c r="AP595" s="635"/>
      <c r="AQ595" s="635"/>
      <c r="AR595" s="635"/>
      <c r="AS595" s="635"/>
    </row>
    <row r="596" spans="1:45" ht="17" thickBot="1" x14ac:dyDescent="0.25">
      <c r="A596" s="643" t="s">
        <v>762</v>
      </c>
      <c r="B596" s="630">
        <v>1250</v>
      </c>
      <c r="C596" s="630">
        <v>1500</v>
      </c>
      <c r="D596" s="650" t="str">
        <f t="shared" si="182"/>
        <v>KVX-M12501500</v>
      </c>
      <c r="E596" s="1046">
        <f t="shared" si="180"/>
        <v>1165.0729345750001</v>
      </c>
      <c r="F596" s="631">
        <v>17</v>
      </c>
      <c r="G596" s="632">
        <f>F596*CCBASE!$B$51</f>
        <v>612</v>
      </c>
      <c r="H596" s="632">
        <f>CCBASE!$I$12*B596/1000</f>
        <v>149.56317162500002</v>
      </c>
      <c r="I596" s="632"/>
      <c r="J596" s="632"/>
      <c r="K596" s="632"/>
      <c r="L596" s="631"/>
      <c r="M596" s="632">
        <f>CCBASE!$I$15*B596/1000</f>
        <v>99.807356250000012</v>
      </c>
      <c r="N596" s="632">
        <f>CCBASE!$I$7*B596/1000</f>
        <v>39.427849999999999</v>
      </c>
      <c r="O596" s="632">
        <f>CCBASE!$I$45*B596/1000</f>
        <v>12.4625</v>
      </c>
      <c r="P596" s="632"/>
      <c r="Q596" s="632">
        <f>CCBASE!$I$51</f>
        <v>2.9</v>
      </c>
      <c r="R596" s="632">
        <f>CCBASE!$I$4</f>
        <v>8.3986041999999994</v>
      </c>
      <c r="S596" s="632">
        <f>CCBASE!$I$8</f>
        <v>16.25526</v>
      </c>
      <c r="T596" s="631"/>
      <c r="U596" s="637">
        <f>CCBASE!$I$47</f>
        <v>14.41</v>
      </c>
      <c r="V596" s="632"/>
      <c r="W596" s="632">
        <f>CCBASE!$I$41*B596/1000</f>
        <v>73.814462499999991</v>
      </c>
      <c r="X596" s="632"/>
      <c r="Y596" s="632"/>
      <c r="Z596" s="632"/>
      <c r="AA596" s="632"/>
      <c r="AB596" s="632"/>
      <c r="AC596" s="632"/>
      <c r="AD596" s="651">
        <f>CCBASE!$I$33*2</f>
        <v>136.03372999999999</v>
      </c>
      <c r="AI596" s="634"/>
      <c r="AJ596" s="634"/>
      <c r="AK596" s="635"/>
      <c r="AL596" s="635"/>
      <c r="AM596" s="635"/>
      <c r="AN596" s="635"/>
      <c r="AO596" s="635"/>
      <c r="AP596" s="635"/>
      <c r="AQ596" s="635"/>
      <c r="AR596" s="635"/>
      <c r="AS596" s="635"/>
    </row>
    <row r="597" spans="1:45" ht="17" thickBot="1" x14ac:dyDescent="0.25">
      <c r="A597" s="643" t="s">
        <v>762</v>
      </c>
      <c r="B597" s="630">
        <v>1500</v>
      </c>
      <c r="C597" s="630">
        <v>1500</v>
      </c>
      <c r="D597" s="650" t="str">
        <f t="shared" si="182"/>
        <v>KVX-M15001500</v>
      </c>
      <c r="E597" s="1046">
        <f t="shared" ref="E597:E660" si="183">SUM(G597:AD597)</f>
        <v>1240.0880026499999</v>
      </c>
      <c r="F597" s="631">
        <v>17</v>
      </c>
      <c r="G597" s="632">
        <f>F597*CCBASE!$B$51</f>
        <v>612</v>
      </c>
      <c r="H597" s="632">
        <f>CCBASE!$I$12*B597/1000</f>
        <v>179.47580595000002</v>
      </c>
      <c r="I597" s="632"/>
      <c r="J597" s="632"/>
      <c r="K597" s="632"/>
      <c r="L597" s="631"/>
      <c r="M597" s="632">
        <f>CCBASE!$I$15*B597/1000</f>
        <v>119.76882750000001</v>
      </c>
      <c r="N597" s="632">
        <f>CCBASE!$I$7*B597/1000</f>
        <v>47.313420000000008</v>
      </c>
      <c r="O597" s="632">
        <f>CCBASE!$I$45*B597/1000</f>
        <v>14.955000000000002</v>
      </c>
      <c r="P597" s="632"/>
      <c r="Q597" s="632">
        <f>CCBASE!$I$51</f>
        <v>2.9</v>
      </c>
      <c r="R597" s="632">
        <f>CCBASE!$I$4</f>
        <v>8.3986041999999994</v>
      </c>
      <c r="S597" s="632">
        <f>CCBASE!$I$8</f>
        <v>16.25526</v>
      </c>
      <c r="T597" s="631"/>
      <c r="U597" s="637">
        <f>CCBASE!$I$47</f>
        <v>14.41</v>
      </c>
      <c r="V597" s="632"/>
      <c r="W597" s="632">
        <f>CCBASE!$I$41*B597/1000</f>
        <v>88.577354999999997</v>
      </c>
      <c r="X597" s="632"/>
      <c r="Y597" s="632"/>
      <c r="Z597" s="632"/>
      <c r="AA597" s="632"/>
      <c r="AB597" s="632"/>
      <c r="AC597" s="632"/>
      <c r="AD597" s="651">
        <f>CCBASE!$I$33*2</f>
        <v>136.03372999999999</v>
      </c>
      <c r="AI597" s="634"/>
      <c r="AJ597" s="634"/>
      <c r="AK597" s="635"/>
      <c r="AL597" s="635"/>
      <c r="AM597" s="635"/>
      <c r="AN597" s="635"/>
      <c r="AO597" s="635"/>
      <c r="AP597" s="635"/>
      <c r="AQ597" s="635"/>
      <c r="AR597" s="635"/>
      <c r="AS597" s="635"/>
    </row>
    <row r="598" spans="1:45" ht="17" thickBot="1" x14ac:dyDescent="0.25">
      <c r="A598" s="643" t="s">
        <v>762</v>
      </c>
      <c r="B598" s="630">
        <v>1750</v>
      </c>
      <c r="C598" s="630">
        <v>1500</v>
      </c>
      <c r="D598" s="650" t="str">
        <f t="shared" si="182"/>
        <v>KVX-M17501500</v>
      </c>
      <c r="E598" s="1046">
        <f t="shared" si="183"/>
        <v>1351.1030707250002</v>
      </c>
      <c r="F598" s="631">
        <v>18</v>
      </c>
      <c r="G598" s="632">
        <f>F598*CCBASE!$B$51</f>
        <v>648</v>
      </c>
      <c r="H598" s="632">
        <f>CCBASE!$I$12*B598/1000</f>
        <v>209.38844027500002</v>
      </c>
      <c r="I598" s="632"/>
      <c r="J598" s="632"/>
      <c r="K598" s="632"/>
      <c r="L598" s="631"/>
      <c r="M598" s="632">
        <f>CCBASE!$I$15*B598/1000</f>
        <v>139.73029875</v>
      </c>
      <c r="N598" s="632">
        <f>CCBASE!$I$7*B598/1000</f>
        <v>55.198990000000002</v>
      </c>
      <c r="O598" s="632">
        <f>CCBASE!$I$45*B598/1000</f>
        <v>17.447500000000002</v>
      </c>
      <c r="P598" s="632"/>
      <c r="Q598" s="632">
        <f>CCBASE!$I$51</f>
        <v>2.9</v>
      </c>
      <c r="R598" s="632">
        <f>CCBASE!$I$4</f>
        <v>8.3986041999999994</v>
      </c>
      <c r="S598" s="632">
        <f>CCBASE!$I$8</f>
        <v>16.25526</v>
      </c>
      <c r="T598" s="631"/>
      <c r="U598" s="637">
        <f>CCBASE!$I$47</f>
        <v>14.41</v>
      </c>
      <c r="V598" s="632"/>
      <c r="W598" s="632">
        <f>CCBASE!$I$41*B598/1000</f>
        <v>103.3402475</v>
      </c>
      <c r="X598" s="632"/>
      <c r="Y598" s="632"/>
      <c r="Z598" s="632"/>
      <c r="AA598" s="632"/>
      <c r="AB598" s="632"/>
      <c r="AC598" s="632"/>
      <c r="AD598" s="651">
        <f>CCBASE!$I$33*2</f>
        <v>136.03372999999999</v>
      </c>
      <c r="AI598" s="634"/>
      <c r="AJ598" s="634"/>
      <c r="AK598" s="635"/>
      <c r="AL598" s="635"/>
      <c r="AM598" s="635"/>
      <c r="AN598" s="635"/>
      <c r="AO598" s="635"/>
      <c r="AP598" s="635"/>
      <c r="AQ598" s="635"/>
      <c r="AR598" s="635"/>
      <c r="AS598" s="635"/>
    </row>
    <row r="599" spans="1:45" ht="17" thickBot="1" x14ac:dyDescent="0.25">
      <c r="A599" s="643" t="s">
        <v>762</v>
      </c>
      <c r="B599" s="630">
        <v>2000</v>
      </c>
      <c r="C599" s="630">
        <v>1500</v>
      </c>
      <c r="D599" s="650" t="str">
        <f t="shared" si="182"/>
        <v>KVX-M20001500</v>
      </c>
      <c r="E599" s="1046">
        <f t="shared" si="183"/>
        <v>1426.1181388</v>
      </c>
      <c r="F599" s="631">
        <v>18</v>
      </c>
      <c r="G599" s="632">
        <f>F599*CCBASE!$B$51</f>
        <v>648</v>
      </c>
      <c r="H599" s="632">
        <f>CCBASE!$I$12*B599/1000</f>
        <v>239.30107460000002</v>
      </c>
      <c r="I599" s="632"/>
      <c r="J599" s="632"/>
      <c r="K599" s="632"/>
      <c r="L599" s="631"/>
      <c r="M599" s="632">
        <f>CCBASE!$I$15*B599/1000</f>
        <v>159.69177000000002</v>
      </c>
      <c r="N599" s="632">
        <f>CCBASE!$I$7*B599/1000</f>
        <v>63.084560000000003</v>
      </c>
      <c r="O599" s="632">
        <f>CCBASE!$I$45*B599/1000</f>
        <v>19.940000000000001</v>
      </c>
      <c r="P599" s="632"/>
      <c r="Q599" s="632">
        <f>CCBASE!$I$51</f>
        <v>2.9</v>
      </c>
      <c r="R599" s="632">
        <f>CCBASE!$I$4</f>
        <v>8.3986041999999994</v>
      </c>
      <c r="S599" s="632">
        <f>CCBASE!$I$8</f>
        <v>16.25526</v>
      </c>
      <c r="T599" s="631"/>
      <c r="U599" s="637">
        <f>CCBASE!$I$47</f>
        <v>14.41</v>
      </c>
      <c r="V599" s="632"/>
      <c r="W599" s="632">
        <f>CCBASE!$I$41*B599/1000</f>
        <v>118.10314</v>
      </c>
      <c r="X599" s="632"/>
      <c r="Y599" s="632"/>
      <c r="Z599" s="632"/>
      <c r="AA599" s="632"/>
      <c r="AB599" s="632"/>
      <c r="AC599" s="632"/>
      <c r="AD599" s="651">
        <f>CCBASE!$I$33*2</f>
        <v>136.03372999999999</v>
      </c>
      <c r="AI599" s="634"/>
      <c r="AJ599" s="634"/>
      <c r="AK599" s="635"/>
      <c r="AL599" s="635"/>
      <c r="AM599" s="635"/>
      <c r="AN599" s="635"/>
      <c r="AO599" s="635"/>
      <c r="AP599" s="635"/>
      <c r="AQ599" s="635"/>
      <c r="AR599" s="635"/>
      <c r="AS599" s="635"/>
    </row>
    <row r="600" spans="1:45" ht="17" thickBot="1" x14ac:dyDescent="0.25">
      <c r="A600" s="643" t="s">
        <v>762</v>
      </c>
      <c r="B600" s="630">
        <v>2250</v>
      </c>
      <c r="C600" s="630">
        <v>1500</v>
      </c>
      <c r="D600" s="650" t="str">
        <f t="shared" si="182"/>
        <v>KVX-M22501500</v>
      </c>
      <c r="E600" s="1046">
        <f t="shared" si="183"/>
        <v>1515.5432068749997</v>
      </c>
      <c r="F600" s="631">
        <v>18</v>
      </c>
      <c r="G600" s="632">
        <f>F600*CCBASE!$B$51</f>
        <v>648</v>
      </c>
      <c r="H600" s="632">
        <f>CCBASE!$I$12*B600/1000</f>
        <v>269.21370892500005</v>
      </c>
      <c r="I600" s="632"/>
      <c r="J600" s="632"/>
      <c r="K600" s="632"/>
      <c r="L600" s="631"/>
      <c r="M600" s="632">
        <f>CCBASE!$I$15*B600/1000</f>
        <v>179.65324125000001</v>
      </c>
      <c r="N600" s="632">
        <f>CCBASE!$I$7*B600/1000</f>
        <v>70.970130000000012</v>
      </c>
      <c r="O600" s="632">
        <f>CCBASE!$I$45*B600/1000</f>
        <v>22.432500000000001</v>
      </c>
      <c r="P600" s="632"/>
      <c r="Q600" s="632">
        <f>CCBASE!$I$51</f>
        <v>2.9</v>
      </c>
      <c r="R600" s="632">
        <f>CCBASE!$I$4</f>
        <v>8.3986041999999994</v>
      </c>
      <c r="S600" s="632">
        <f>CCBASE!$I$8</f>
        <v>16.25526</v>
      </c>
      <c r="T600" s="631"/>
      <c r="U600" s="637">
        <f>CCBASE!$I$47*2</f>
        <v>28.82</v>
      </c>
      <c r="V600" s="632"/>
      <c r="W600" s="632">
        <f>CCBASE!$I$41*B600/1000</f>
        <v>132.86603249999999</v>
      </c>
      <c r="X600" s="632"/>
      <c r="Y600" s="632"/>
      <c r="Z600" s="632"/>
      <c r="AA600" s="632"/>
      <c r="AB600" s="632"/>
      <c r="AC600" s="632"/>
      <c r="AD600" s="651">
        <f>CCBASE!$I$33*2</f>
        <v>136.03372999999999</v>
      </c>
      <c r="AI600" s="634"/>
      <c r="AJ600" s="634"/>
      <c r="AK600" s="635"/>
      <c r="AL600" s="635"/>
      <c r="AM600" s="635"/>
      <c r="AN600" s="635"/>
      <c r="AO600" s="635"/>
      <c r="AP600" s="635"/>
      <c r="AQ600" s="635"/>
      <c r="AR600" s="635"/>
      <c r="AS600" s="635"/>
    </row>
    <row r="601" spans="1:45" ht="17" thickBot="1" x14ac:dyDescent="0.25">
      <c r="A601" s="643" t="s">
        <v>762</v>
      </c>
      <c r="B601" s="630">
        <v>2500</v>
      </c>
      <c r="C601" s="630">
        <v>1500</v>
      </c>
      <c r="D601" s="650" t="str">
        <f t="shared" si="182"/>
        <v>KVX-M25001500</v>
      </c>
      <c r="E601" s="1046">
        <f t="shared" si="183"/>
        <v>1626.5582749499999</v>
      </c>
      <c r="F601" s="631">
        <v>19</v>
      </c>
      <c r="G601" s="632">
        <f>F601*CCBASE!$B$51</f>
        <v>684</v>
      </c>
      <c r="H601" s="632">
        <f>CCBASE!$I$12*B601/1000</f>
        <v>299.12634325000005</v>
      </c>
      <c r="I601" s="632"/>
      <c r="J601" s="632"/>
      <c r="K601" s="632"/>
      <c r="L601" s="631"/>
      <c r="M601" s="632">
        <f>CCBASE!$I$15*B601/1000</f>
        <v>199.61471250000002</v>
      </c>
      <c r="N601" s="632">
        <f>CCBASE!$I$7*B601/1000</f>
        <v>78.855699999999999</v>
      </c>
      <c r="O601" s="632">
        <f>CCBASE!$I$45*B601/1000</f>
        <v>24.925000000000001</v>
      </c>
      <c r="P601" s="632"/>
      <c r="Q601" s="632">
        <f>CCBASE!$I$51</f>
        <v>2.9</v>
      </c>
      <c r="R601" s="632">
        <f>CCBASE!$I$4</f>
        <v>8.3986041999999994</v>
      </c>
      <c r="S601" s="632">
        <f>CCBASE!$I$8</f>
        <v>16.25526</v>
      </c>
      <c r="T601" s="631"/>
      <c r="U601" s="637">
        <f>CCBASE!$I$47*2</f>
        <v>28.82</v>
      </c>
      <c r="V601" s="632"/>
      <c r="W601" s="632">
        <f>CCBASE!$I$41*B601/1000</f>
        <v>147.62892499999998</v>
      </c>
      <c r="X601" s="632"/>
      <c r="Y601" s="632"/>
      <c r="Z601" s="632"/>
      <c r="AA601" s="632"/>
      <c r="AB601" s="632"/>
      <c r="AC601" s="632"/>
      <c r="AD601" s="651">
        <f>CCBASE!$I$33*2</f>
        <v>136.03372999999999</v>
      </c>
      <c r="AI601" s="634"/>
      <c r="AJ601" s="634"/>
      <c r="AK601" s="635"/>
      <c r="AL601" s="635"/>
      <c r="AM601" s="635"/>
      <c r="AN601" s="635"/>
      <c r="AO601" s="635"/>
      <c r="AP601" s="635"/>
      <c r="AQ601" s="635"/>
      <c r="AR601" s="635"/>
      <c r="AS601" s="635"/>
    </row>
    <row r="602" spans="1:45" ht="17" thickBot="1" x14ac:dyDescent="0.25">
      <c r="A602" s="643" t="s">
        <v>762</v>
      </c>
      <c r="B602" s="630">
        <v>2750</v>
      </c>
      <c r="C602" s="630">
        <v>1500</v>
      </c>
      <c r="D602" s="650" t="str">
        <f t="shared" si="182"/>
        <v>KVX-M27501500</v>
      </c>
      <c r="E602" s="1046">
        <f t="shared" si="183"/>
        <v>1701.5733430249998</v>
      </c>
      <c r="F602" s="631">
        <v>19</v>
      </c>
      <c r="G602" s="632">
        <f>F602*CCBASE!$B$51</f>
        <v>684</v>
      </c>
      <c r="H602" s="632">
        <f>CCBASE!$I$12*B602/1000</f>
        <v>329.03897757500005</v>
      </c>
      <c r="I602" s="632"/>
      <c r="J602" s="632"/>
      <c r="K602" s="632"/>
      <c r="L602" s="631"/>
      <c r="M602" s="632">
        <f>CCBASE!$I$15*B602/1000</f>
        <v>219.57618375000001</v>
      </c>
      <c r="N602" s="632">
        <f>CCBASE!$I$7*B602/1000</f>
        <v>86.74127</v>
      </c>
      <c r="O602" s="632">
        <f>CCBASE!$I$45*B602/1000</f>
        <v>27.4175</v>
      </c>
      <c r="P602" s="632"/>
      <c r="Q602" s="632">
        <f>CCBASE!$I$51</f>
        <v>2.9</v>
      </c>
      <c r="R602" s="632">
        <f>CCBASE!$I$4</f>
        <v>8.3986041999999994</v>
      </c>
      <c r="S602" s="632">
        <f>CCBASE!$I$8</f>
        <v>16.25526</v>
      </c>
      <c r="T602" s="631"/>
      <c r="U602" s="637">
        <f>CCBASE!$I$47*2</f>
        <v>28.82</v>
      </c>
      <c r="V602" s="632"/>
      <c r="W602" s="632">
        <f>CCBASE!$I$41*B602/1000</f>
        <v>162.3918175</v>
      </c>
      <c r="X602" s="632"/>
      <c r="Y602" s="632"/>
      <c r="Z602" s="632"/>
      <c r="AA602" s="632"/>
      <c r="AB602" s="632"/>
      <c r="AC602" s="632"/>
      <c r="AD602" s="651">
        <f>CCBASE!$I$33*2</f>
        <v>136.03372999999999</v>
      </c>
      <c r="AI602" s="634"/>
      <c r="AJ602" s="634"/>
      <c r="AN602" s="635"/>
      <c r="AO602" s="635"/>
      <c r="AP602" s="635"/>
      <c r="AQ602" s="635"/>
      <c r="AR602" s="635"/>
      <c r="AS602" s="635"/>
    </row>
    <row r="603" spans="1:45" ht="17" thickBot="1" x14ac:dyDescent="0.25">
      <c r="A603" s="643" t="s">
        <v>762</v>
      </c>
      <c r="B603" s="630">
        <v>3000</v>
      </c>
      <c r="C603" s="630">
        <v>1500</v>
      </c>
      <c r="D603" s="650" t="str">
        <f t="shared" si="182"/>
        <v>KVX-M30001500</v>
      </c>
      <c r="E603" s="1046">
        <f t="shared" si="183"/>
        <v>1776.5884111</v>
      </c>
      <c r="F603" s="631">
        <v>19</v>
      </c>
      <c r="G603" s="632">
        <f>F603*CCBASE!$B$51</f>
        <v>684</v>
      </c>
      <c r="H603" s="632">
        <f>CCBASE!$I$12*B603/1000</f>
        <v>358.95161190000005</v>
      </c>
      <c r="I603" s="632"/>
      <c r="J603" s="632"/>
      <c r="K603" s="632"/>
      <c r="L603" s="631"/>
      <c r="M603" s="632">
        <f>CCBASE!$I$15*B603/1000</f>
        <v>239.53765500000003</v>
      </c>
      <c r="N603" s="632">
        <f>CCBASE!$I$7*B603/1000</f>
        <v>94.626840000000016</v>
      </c>
      <c r="O603" s="632">
        <f>CCBASE!$I$45*B603/1000</f>
        <v>29.910000000000004</v>
      </c>
      <c r="P603" s="632"/>
      <c r="Q603" s="632">
        <f>CCBASE!$I$51</f>
        <v>2.9</v>
      </c>
      <c r="R603" s="632">
        <f>CCBASE!$I$4</f>
        <v>8.3986041999999994</v>
      </c>
      <c r="S603" s="632">
        <f>CCBASE!$I$8</f>
        <v>16.25526</v>
      </c>
      <c r="T603" s="631"/>
      <c r="U603" s="637">
        <f>CCBASE!$I$47*2</f>
        <v>28.82</v>
      </c>
      <c r="V603" s="632"/>
      <c r="W603" s="632">
        <f>CCBASE!$I$41*B603/1000</f>
        <v>177.15470999999999</v>
      </c>
      <c r="X603" s="632"/>
      <c r="Y603" s="632"/>
      <c r="Z603" s="632"/>
      <c r="AA603" s="632"/>
      <c r="AB603" s="632"/>
      <c r="AC603" s="632"/>
      <c r="AD603" s="651">
        <f>CCBASE!$I$33*2</f>
        <v>136.03372999999999</v>
      </c>
      <c r="AI603" s="634"/>
      <c r="AJ603" s="634"/>
      <c r="AN603" s="635"/>
      <c r="AO603" s="635"/>
      <c r="AP603" s="635"/>
      <c r="AQ603" s="635"/>
      <c r="AR603" s="635"/>
      <c r="AS603" s="635"/>
    </row>
    <row r="604" spans="1:45" ht="17" thickBot="1" x14ac:dyDescent="0.25">
      <c r="A604" s="643" t="s">
        <v>762</v>
      </c>
      <c r="B604" s="630">
        <v>1000</v>
      </c>
      <c r="C604" s="630">
        <v>1750</v>
      </c>
      <c r="D604" s="650" t="str">
        <f t="shared" si="182"/>
        <v>KVX-M10001750</v>
      </c>
      <c r="E604" s="1046">
        <f t="shared" si="183"/>
        <v>1175.2268104999998</v>
      </c>
      <c r="F604" s="646">
        <v>17</v>
      </c>
      <c r="G604" s="632">
        <f>F604*CCBASE!$B$51</f>
        <v>612</v>
      </c>
      <c r="H604" s="632">
        <f>CCBASE!$I$12*B604/1000</f>
        <v>119.65053730000001</v>
      </c>
      <c r="I604" s="632"/>
      <c r="J604" s="632"/>
      <c r="K604" s="632"/>
      <c r="L604" s="637"/>
      <c r="M604" s="632">
        <f>CCBASE!$I$15*B604/1000</f>
        <v>79.84588500000001</v>
      </c>
      <c r="N604" s="632">
        <f>CCBASE!$I$7*B604/1000</f>
        <v>31.542280000000002</v>
      </c>
      <c r="O604" s="632">
        <f>CCBASE!$I$45*B604/1000</f>
        <v>9.9700000000000006</v>
      </c>
      <c r="P604" s="632"/>
      <c r="Q604" s="632">
        <f>CCBASE!$I$51</f>
        <v>2.9</v>
      </c>
      <c r="R604" s="632">
        <f>CCBASE!$I$4</f>
        <v>8.3986041999999994</v>
      </c>
      <c r="S604" s="632">
        <f>CCBASE!$I$8</f>
        <v>16.25526</v>
      </c>
      <c r="T604" s="631"/>
      <c r="U604" s="637">
        <f>CCBASE!$I$47</f>
        <v>14.41</v>
      </c>
      <c r="V604" s="631"/>
      <c r="W604" s="632">
        <f>CCBASE!$I$42*B604/1000</f>
        <v>70.880589999999998</v>
      </c>
      <c r="X604" s="632"/>
      <c r="Y604" s="632"/>
      <c r="Z604" s="632"/>
      <c r="AA604" s="632"/>
      <c r="AB604" s="632"/>
      <c r="AC604" s="632"/>
      <c r="AD604" s="651">
        <f>CCBASE!$I$34*2</f>
        <v>209.37365399999999</v>
      </c>
      <c r="AI604" s="634"/>
      <c r="AJ604" s="634"/>
      <c r="AK604" s="635"/>
      <c r="AL604" s="635"/>
      <c r="AM604" s="635"/>
      <c r="AN604" s="635"/>
      <c r="AO604" s="635"/>
      <c r="AP604" s="635"/>
      <c r="AQ604" s="635"/>
      <c r="AR604" s="635"/>
      <c r="AS604" s="635"/>
    </row>
    <row r="605" spans="1:45" ht="17" thickBot="1" x14ac:dyDescent="0.25">
      <c r="A605" s="643" t="s">
        <v>762</v>
      </c>
      <c r="B605" s="630">
        <v>1250</v>
      </c>
      <c r="C605" s="630">
        <v>1750</v>
      </c>
      <c r="D605" s="650" t="str">
        <f t="shared" si="182"/>
        <v>KVX-M12501750</v>
      </c>
      <c r="E605" s="1046">
        <f t="shared" si="183"/>
        <v>1253.1991335749999</v>
      </c>
      <c r="F605" s="631">
        <v>17</v>
      </c>
      <c r="G605" s="632">
        <f>F605*CCBASE!$B$51</f>
        <v>612</v>
      </c>
      <c r="H605" s="632">
        <f>CCBASE!$I$12*B605/1000</f>
        <v>149.56317162500002</v>
      </c>
      <c r="I605" s="632"/>
      <c r="J605" s="632"/>
      <c r="K605" s="632"/>
      <c r="L605" s="637"/>
      <c r="M605" s="632">
        <f>CCBASE!$I$15*B605/1000</f>
        <v>99.807356250000012</v>
      </c>
      <c r="N605" s="632">
        <f>CCBASE!$I$7*B605/1000</f>
        <v>39.427849999999999</v>
      </c>
      <c r="O605" s="632">
        <f>CCBASE!$I$45*B605/1000</f>
        <v>12.4625</v>
      </c>
      <c r="P605" s="632"/>
      <c r="Q605" s="632">
        <f>CCBASE!$I$51</f>
        <v>2.9</v>
      </c>
      <c r="R605" s="632">
        <f>CCBASE!$I$4</f>
        <v>8.3986041999999994</v>
      </c>
      <c r="S605" s="632">
        <f>CCBASE!$I$8</f>
        <v>16.25526</v>
      </c>
      <c r="T605" s="631"/>
      <c r="U605" s="637">
        <f>CCBASE!$I$47</f>
        <v>14.41</v>
      </c>
      <c r="V605" s="631"/>
      <c r="W605" s="632">
        <f>CCBASE!$I$42*B605/1000</f>
        <v>88.600737500000008</v>
      </c>
      <c r="X605" s="632"/>
      <c r="Y605" s="632"/>
      <c r="Z605" s="632"/>
      <c r="AA605" s="632"/>
      <c r="AB605" s="632"/>
      <c r="AC605" s="632"/>
      <c r="AD605" s="651">
        <f>CCBASE!$I$34*2</f>
        <v>209.37365399999999</v>
      </c>
      <c r="AI605" s="634"/>
      <c r="AJ605" s="634"/>
      <c r="AK605" s="635"/>
      <c r="AL605" s="635"/>
      <c r="AM605" s="635"/>
      <c r="AN605" s="635"/>
      <c r="AO605" s="635"/>
      <c r="AP605" s="635"/>
      <c r="AQ605" s="635"/>
      <c r="AR605" s="635"/>
      <c r="AS605" s="635"/>
    </row>
    <row r="606" spans="1:45" ht="17" thickBot="1" x14ac:dyDescent="0.25">
      <c r="A606" s="643" t="s">
        <v>762</v>
      </c>
      <c r="B606" s="630">
        <v>1500</v>
      </c>
      <c r="C606" s="630">
        <v>1750</v>
      </c>
      <c r="D606" s="650" t="str">
        <f t="shared" si="182"/>
        <v>KVX-M15001750</v>
      </c>
      <c r="E606" s="1046">
        <f t="shared" si="183"/>
        <v>1331.17145665</v>
      </c>
      <c r="F606" s="631">
        <v>17</v>
      </c>
      <c r="G606" s="632">
        <f>F606*CCBASE!$B$51</f>
        <v>612</v>
      </c>
      <c r="H606" s="632">
        <f>CCBASE!$I$12*B606/1000</f>
        <v>179.47580595000002</v>
      </c>
      <c r="I606" s="632"/>
      <c r="J606" s="632"/>
      <c r="K606" s="632"/>
      <c r="L606" s="637"/>
      <c r="M606" s="632">
        <f>CCBASE!$I$15*B606/1000</f>
        <v>119.76882750000001</v>
      </c>
      <c r="N606" s="632">
        <f>CCBASE!$I$7*B606/1000</f>
        <v>47.313420000000008</v>
      </c>
      <c r="O606" s="632">
        <f>CCBASE!$I$45*B606/1000</f>
        <v>14.955000000000002</v>
      </c>
      <c r="P606" s="632"/>
      <c r="Q606" s="632">
        <f>CCBASE!$I$51</f>
        <v>2.9</v>
      </c>
      <c r="R606" s="632">
        <f>CCBASE!$I$4</f>
        <v>8.3986041999999994</v>
      </c>
      <c r="S606" s="632">
        <f>CCBASE!$I$8</f>
        <v>16.25526</v>
      </c>
      <c r="T606" s="631"/>
      <c r="U606" s="637">
        <f>CCBASE!$I$47</f>
        <v>14.41</v>
      </c>
      <c r="V606" s="631"/>
      <c r="W606" s="632">
        <f>CCBASE!$I$42*B606/1000</f>
        <v>106.32088499999999</v>
      </c>
      <c r="X606" s="632"/>
      <c r="Y606" s="632"/>
      <c r="Z606" s="632"/>
      <c r="AA606" s="632"/>
      <c r="AB606" s="632"/>
      <c r="AC606" s="632"/>
      <c r="AD606" s="651">
        <f>CCBASE!$I$34*2</f>
        <v>209.37365399999999</v>
      </c>
      <c r="AI606" s="634"/>
      <c r="AJ606" s="634"/>
      <c r="AK606" s="635"/>
      <c r="AL606" s="635"/>
      <c r="AM606" s="635"/>
      <c r="AN606" s="635"/>
      <c r="AO606" s="635"/>
      <c r="AP606" s="635"/>
      <c r="AQ606" s="635"/>
      <c r="AR606" s="635"/>
      <c r="AS606" s="635"/>
    </row>
    <row r="607" spans="1:45" ht="17" thickBot="1" x14ac:dyDescent="0.25">
      <c r="A607" s="643" t="s">
        <v>762</v>
      </c>
      <c r="B607" s="630">
        <v>1750</v>
      </c>
      <c r="C607" s="630">
        <v>1750</v>
      </c>
      <c r="D607" s="650" t="str">
        <f t="shared" si="182"/>
        <v>KVX-M17501750</v>
      </c>
      <c r="E607" s="1046">
        <f t="shared" si="183"/>
        <v>1445.1437797250001</v>
      </c>
      <c r="F607" s="631">
        <v>18</v>
      </c>
      <c r="G607" s="632">
        <f>F607*CCBASE!$B$51</f>
        <v>648</v>
      </c>
      <c r="H607" s="632">
        <f>CCBASE!$I$12*B607/1000</f>
        <v>209.38844027500002</v>
      </c>
      <c r="I607" s="632"/>
      <c r="J607" s="632"/>
      <c r="K607" s="632"/>
      <c r="L607" s="637"/>
      <c r="M607" s="632">
        <f>CCBASE!$I$15*B607/1000</f>
        <v>139.73029875</v>
      </c>
      <c r="N607" s="632">
        <f>CCBASE!$I$7*B607/1000</f>
        <v>55.198990000000002</v>
      </c>
      <c r="O607" s="632">
        <f>CCBASE!$I$45*B607/1000</f>
        <v>17.447500000000002</v>
      </c>
      <c r="P607" s="632"/>
      <c r="Q607" s="632">
        <f>CCBASE!$I$51</f>
        <v>2.9</v>
      </c>
      <c r="R607" s="632">
        <f>CCBASE!$I$4</f>
        <v>8.3986041999999994</v>
      </c>
      <c r="S607" s="632">
        <f>CCBASE!$I$8</f>
        <v>16.25526</v>
      </c>
      <c r="T607" s="631"/>
      <c r="U607" s="637">
        <f>CCBASE!$I$47</f>
        <v>14.41</v>
      </c>
      <c r="V607" s="631"/>
      <c r="W607" s="632">
        <f>CCBASE!$I$42*B607/1000</f>
        <v>124.0410325</v>
      </c>
      <c r="X607" s="632"/>
      <c r="Y607" s="632"/>
      <c r="Z607" s="632"/>
      <c r="AA607" s="632"/>
      <c r="AB607" s="632"/>
      <c r="AC607" s="632"/>
      <c r="AD607" s="651">
        <f>CCBASE!$I$34*2</f>
        <v>209.37365399999999</v>
      </c>
      <c r="AI607" s="634"/>
      <c r="AJ607" s="634"/>
    </row>
    <row r="608" spans="1:45" ht="17" thickBot="1" x14ac:dyDescent="0.25">
      <c r="A608" s="643" t="s">
        <v>762</v>
      </c>
      <c r="B608" s="630">
        <v>2000</v>
      </c>
      <c r="C608" s="630">
        <v>1750</v>
      </c>
      <c r="D608" s="650" t="str">
        <f t="shared" si="182"/>
        <v>KVX-M20001750</v>
      </c>
      <c r="E608" s="1046">
        <f t="shared" si="183"/>
        <v>1523.1161027999999</v>
      </c>
      <c r="F608" s="631">
        <v>18</v>
      </c>
      <c r="G608" s="632">
        <f>F608*CCBASE!$B$51</f>
        <v>648</v>
      </c>
      <c r="H608" s="632">
        <f>CCBASE!$I$12*B608/1000</f>
        <v>239.30107460000002</v>
      </c>
      <c r="I608" s="632"/>
      <c r="J608" s="632"/>
      <c r="K608" s="632"/>
      <c r="L608" s="637"/>
      <c r="M608" s="632">
        <f>CCBASE!$I$15*B608/1000</f>
        <v>159.69177000000002</v>
      </c>
      <c r="N608" s="632">
        <f>CCBASE!$I$7*B608/1000</f>
        <v>63.084560000000003</v>
      </c>
      <c r="O608" s="632">
        <f>CCBASE!$I$45*B608/1000</f>
        <v>19.940000000000001</v>
      </c>
      <c r="P608" s="632"/>
      <c r="Q608" s="632">
        <f>CCBASE!$I$51</f>
        <v>2.9</v>
      </c>
      <c r="R608" s="632">
        <f>CCBASE!$I$4</f>
        <v>8.3986041999999994</v>
      </c>
      <c r="S608" s="632">
        <f>CCBASE!$I$8</f>
        <v>16.25526</v>
      </c>
      <c r="T608" s="631"/>
      <c r="U608" s="637">
        <f>CCBASE!$I$47</f>
        <v>14.41</v>
      </c>
      <c r="V608" s="631"/>
      <c r="W608" s="632">
        <f>CCBASE!$I$42*B608/1000</f>
        <v>141.76118</v>
      </c>
      <c r="X608" s="632"/>
      <c r="Y608" s="632"/>
      <c r="Z608" s="632"/>
      <c r="AA608" s="632"/>
      <c r="AB608" s="632"/>
      <c r="AC608" s="632"/>
      <c r="AD608" s="651">
        <f>CCBASE!$I$34*2</f>
        <v>209.37365399999999</v>
      </c>
      <c r="AI608" s="634"/>
      <c r="AJ608" s="634"/>
      <c r="AR608" s="635"/>
      <c r="AS608" s="635"/>
    </row>
    <row r="609" spans="1:45" ht="17" thickBot="1" x14ac:dyDescent="0.25">
      <c r="A609" s="643" t="s">
        <v>762</v>
      </c>
      <c r="B609" s="630">
        <v>2250</v>
      </c>
      <c r="C609" s="630">
        <v>1750</v>
      </c>
      <c r="D609" s="650" t="str">
        <f t="shared" si="182"/>
        <v>KVX-M22501750</v>
      </c>
      <c r="E609" s="1046">
        <f t="shared" si="183"/>
        <v>1615.4984258749996</v>
      </c>
      <c r="F609" s="631">
        <v>18</v>
      </c>
      <c r="G609" s="632">
        <f>F609*CCBASE!$B$51</f>
        <v>648</v>
      </c>
      <c r="H609" s="632">
        <f>CCBASE!$I$12*B609/1000</f>
        <v>269.21370892500005</v>
      </c>
      <c r="I609" s="632"/>
      <c r="J609" s="632"/>
      <c r="K609" s="632"/>
      <c r="L609" s="637"/>
      <c r="M609" s="632">
        <f>CCBASE!$I$15*B609/1000</f>
        <v>179.65324125000001</v>
      </c>
      <c r="N609" s="632">
        <f>CCBASE!$I$7*B609/1000</f>
        <v>70.970130000000012</v>
      </c>
      <c r="O609" s="632">
        <f>CCBASE!$I$45*B609/1000</f>
        <v>22.432500000000001</v>
      </c>
      <c r="P609" s="632"/>
      <c r="Q609" s="632">
        <f>CCBASE!$I$51</f>
        <v>2.9</v>
      </c>
      <c r="R609" s="632">
        <f>CCBASE!$I$4</f>
        <v>8.3986041999999994</v>
      </c>
      <c r="S609" s="632">
        <f>CCBASE!$I$8</f>
        <v>16.25526</v>
      </c>
      <c r="T609" s="631"/>
      <c r="U609" s="637">
        <f>CCBASE!$I$47*2</f>
        <v>28.82</v>
      </c>
      <c r="V609" s="631"/>
      <c r="W609" s="632">
        <f>CCBASE!$I$42*B609/1000</f>
        <v>159.48132749999999</v>
      </c>
      <c r="X609" s="632"/>
      <c r="Y609" s="632"/>
      <c r="Z609" s="632"/>
      <c r="AA609" s="632"/>
      <c r="AB609" s="632"/>
      <c r="AC609" s="632"/>
      <c r="AD609" s="651">
        <f>CCBASE!$I$34*2</f>
        <v>209.37365399999999</v>
      </c>
      <c r="AI609" s="634"/>
      <c r="AJ609" s="634"/>
      <c r="AR609" s="635"/>
      <c r="AS609" s="635"/>
    </row>
    <row r="610" spans="1:45" ht="17" thickBot="1" x14ac:dyDescent="0.25">
      <c r="A610" s="643" t="s">
        <v>762</v>
      </c>
      <c r="B610" s="630">
        <v>2500</v>
      </c>
      <c r="C610" s="630">
        <v>1750</v>
      </c>
      <c r="D610" s="650" t="str">
        <f t="shared" si="182"/>
        <v>KVX-M25001750</v>
      </c>
      <c r="E610" s="1046">
        <f t="shared" si="183"/>
        <v>1729.4707489499999</v>
      </c>
      <c r="F610" s="631">
        <v>19</v>
      </c>
      <c r="G610" s="632">
        <f>F610*CCBASE!$B$51</f>
        <v>684</v>
      </c>
      <c r="H610" s="632">
        <f>CCBASE!$I$12*B610/1000</f>
        <v>299.12634325000005</v>
      </c>
      <c r="I610" s="632"/>
      <c r="J610" s="632"/>
      <c r="K610" s="632"/>
      <c r="L610" s="637"/>
      <c r="M610" s="632">
        <f>CCBASE!$I$15*B610/1000</f>
        <v>199.61471250000002</v>
      </c>
      <c r="N610" s="632">
        <f>CCBASE!$I$7*B610/1000</f>
        <v>78.855699999999999</v>
      </c>
      <c r="O610" s="632">
        <f>CCBASE!$I$45*B610/1000</f>
        <v>24.925000000000001</v>
      </c>
      <c r="P610" s="632"/>
      <c r="Q610" s="632">
        <f>CCBASE!$I$51</f>
        <v>2.9</v>
      </c>
      <c r="R610" s="632">
        <f>CCBASE!$I$4</f>
        <v>8.3986041999999994</v>
      </c>
      <c r="S610" s="632">
        <f>CCBASE!$I$8</f>
        <v>16.25526</v>
      </c>
      <c r="T610" s="631"/>
      <c r="U610" s="637">
        <f>CCBASE!$I$47*2</f>
        <v>28.82</v>
      </c>
      <c r="V610" s="631"/>
      <c r="W610" s="632">
        <f>CCBASE!$I$42*B610/1000</f>
        <v>177.20147500000002</v>
      </c>
      <c r="X610" s="632"/>
      <c r="Y610" s="632"/>
      <c r="Z610" s="632"/>
      <c r="AA610" s="632"/>
      <c r="AB610" s="632"/>
      <c r="AC610" s="632"/>
      <c r="AD610" s="651">
        <f>CCBASE!$I$34*2</f>
        <v>209.37365399999999</v>
      </c>
      <c r="AI610" s="634"/>
      <c r="AJ610" s="634"/>
      <c r="AR610" s="635"/>
      <c r="AS610" s="635"/>
    </row>
    <row r="611" spans="1:45" ht="17" thickBot="1" x14ac:dyDescent="0.25">
      <c r="A611" s="643" t="s">
        <v>762</v>
      </c>
      <c r="B611" s="630">
        <v>2750</v>
      </c>
      <c r="C611" s="630">
        <v>1750</v>
      </c>
      <c r="D611" s="650" t="str">
        <f t="shared" si="182"/>
        <v>KVX-M27501750</v>
      </c>
      <c r="E611" s="1046">
        <f t="shared" si="183"/>
        <v>1807.4430720249998</v>
      </c>
      <c r="F611" s="631">
        <v>19</v>
      </c>
      <c r="G611" s="632">
        <f>F611*CCBASE!$B$51</f>
        <v>684</v>
      </c>
      <c r="H611" s="632">
        <f>CCBASE!$I$12*B611/1000</f>
        <v>329.03897757500005</v>
      </c>
      <c r="I611" s="632"/>
      <c r="J611" s="632"/>
      <c r="K611" s="632"/>
      <c r="L611" s="637"/>
      <c r="M611" s="632">
        <f>CCBASE!$I$15*B611/1000</f>
        <v>219.57618375000001</v>
      </c>
      <c r="N611" s="632">
        <f>CCBASE!$I$7*B611/1000</f>
        <v>86.74127</v>
      </c>
      <c r="O611" s="632">
        <f>CCBASE!$I$45*B611/1000</f>
        <v>27.4175</v>
      </c>
      <c r="P611" s="632"/>
      <c r="Q611" s="632">
        <f>CCBASE!$I$51</f>
        <v>2.9</v>
      </c>
      <c r="R611" s="632">
        <f>CCBASE!$I$4</f>
        <v>8.3986041999999994</v>
      </c>
      <c r="S611" s="632">
        <f>CCBASE!$I$8</f>
        <v>16.25526</v>
      </c>
      <c r="T611" s="631"/>
      <c r="U611" s="637">
        <f>CCBASE!$I$47*2</f>
        <v>28.82</v>
      </c>
      <c r="V611" s="631"/>
      <c r="W611" s="632">
        <f>CCBASE!$I$42*B611/1000</f>
        <v>194.92162249999998</v>
      </c>
      <c r="X611" s="632"/>
      <c r="Y611" s="632"/>
      <c r="Z611" s="632"/>
      <c r="AA611" s="632"/>
      <c r="AB611" s="632"/>
      <c r="AC611" s="632"/>
      <c r="AD611" s="651">
        <f>CCBASE!$I$34*2</f>
        <v>209.37365399999999</v>
      </c>
      <c r="AI611" s="634"/>
      <c r="AJ611" s="634"/>
      <c r="AK611" s="635"/>
      <c r="AL611" s="635"/>
      <c r="AM611" s="635"/>
      <c r="AN611" s="635"/>
      <c r="AO611" s="635"/>
      <c r="AP611" s="635"/>
      <c r="AQ611" s="635"/>
      <c r="AR611" s="635"/>
      <c r="AS611" s="635"/>
    </row>
    <row r="612" spans="1:45" ht="17" thickBot="1" x14ac:dyDescent="0.25">
      <c r="A612" s="643" t="s">
        <v>762</v>
      </c>
      <c r="B612" s="630">
        <v>3000</v>
      </c>
      <c r="C612" s="630">
        <v>1750</v>
      </c>
      <c r="D612" s="650" t="str">
        <f t="shared" si="182"/>
        <v>KVX-M30001750</v>
      </c>
      <c r="E612" s="1046">
        <f t="shared" si="183"/>
        <v>1885.4153950999998</v>
      </c>
      <c r="F612" s="631">
        <v>19</v>
      </c>
      <c r="G612" s="632">
        <f>F612*CCBASE!$B$51</f>
        <v>684</v>
      </c>
      <c r="H612" s="632">
        <f>CCBASE!$I$12*B612/1000</f>
        <v>358.95161190000005</v>
      </c>
      <c r="I612" s="632"/>
      <c r="J612" s="632"/>
      <c r="K612" s="632"/>
      <c r="L612" s="637"/>
      <c r="M612" s="632">
        <f>CCBASE!$I$15*B612/1000</f>
        <v>239.53765500000003</v>
      </c>
      <c r="N612" s="632">
        <f>CCBASE!$I$7*B612/1000</f>
        <v>94.626840000000016</v>
      </c>
      <c r="O612" s="632">
        <f>CCBASE!$I$45*B612/1000</f>
        <v>29.910000000000004</v>
      </c>
      <c r="P612" s="632"/>
      <c r="Q612" s="632">
        <f>CCBASE!$I$51</f>
        <v>2.9</v>
      </c>
      <c r="R612" s="632">
        <f>CCBASE!$I$4</f>
        <v>8.3986041999999994</v>
      </c>
      <c r="S612" s="632">
        <f>CCBASE!$I$8</f>
        <v>16.25526</v>
      </c>
      <c r="T612" s="631"/>
      <c r="U612" s="637">
        <f>CCBASE!$I$47*2</f>
        <v>28.82</v>
      </c>
      <c r="V612" s="631"/>
      <c r="W612" s="632">
        <f>CCBASE!$I$42*B612/1000</f>
        <v>212.64176999999998</v>
      </c>
      <c r="X612" s="632"/>
      <c r="Y612" s="632"/>
      <c r="Z612" s="632"/>
      <c r="AA612" s="632"/>
      <c r="AB612" s="632"/>
      <c r="AC612" s="632"/>
      <c r="AD612" s="651">
        <f>CCBASE!$I$34*2</f>
        <v>209.37365399999999</v>
      </c>
      <c r="AI612" s="634"/>
      <c r="AJ612" s="634"/>
      <c r="AK612" s="635"/>
      <c r="AL612" s="635"/>
      <c r="AM612" s="635"/>
      <c r="AN612" s="635"/>
      <c r="AO612" s="635"/>
      <c r="AP612" s="635"/>
      <c r="AQ612" s="635"/>
      <c r="AR612" s="635"/>
      <c r="AS612" s="635"/>
    </row>
    <row r="613" spans="1:45" ht="17" thickBot="1" x14ac:dyDescent="0.25">
      <c r="A613" s="643" t="s">
        <v>762</v>
      </c>
      <c r="B613" s="630">
        <v>1000</v>
      </c>
      <c r="C613" s="630">
        <v>2000</v>
      </c>
      <c r="D613" s="650" t="str">
        <f t="shared" si="182"/>
        <v>KVX-M10002000</v>
      </c>
      <c r="E613" s="1046">
        <f t="shared" si="183"/>
        <v>1267.4931664999999</v>
      </c>
      <c r="F613" s="646">
        <v>17</v>
      </c>
      <c r="G613" s="632">
        <f>F613*CCBASE!$B$51</f>
        <v>612</v>
      </c>
      <c r="H613" s="632">
        <f>CCBASE!$I$12*B613/1000</f>
        <v>119.65053730000001</v>
      </c>
      <c r="I613" s="632"/>
      <c r="J613" s="632"/>
      <c r="K613" s="632"/>
      <c r="L613" s="637"/>
      <c r="M613" s="632">
        <f>CCBASE!$I$15*B613/1000</f>
        <v>79.84588500000001</v>
      </c>
      <c r="N613" s="632">
        <f>CCBASE!$I$7*B613/1000</f>
        <v>31.542280000000002</v>
      </c>
      <c r="O613" s="632">
        <f>CCBASE!$I$45*B613/1000</f>
        <v>9.9700000000000006</v>
      </c>
      <c r="P613" s="632"/>
      <c r="Q613" s="632">
        <f>CCBASE!$I$51</f>
        <v>2.9</v>
      </c>
      <c r="R613" s="632">
        <f>CCBASE!$I$4</f>
        <v>8.3986041999999994</v>
      </c>
      <c r="S613" s="632">
        <f>CCBASE!$I$8</f>
        <v>16.25526</v>
      </c>
      <c r="T613" s="631"/>
      <c r="U613" s="637">
        <f>CCBASE!$I$47</f>
        <v>14.41</v>
      </c>
      <c r="V613" s="631"/>
      <c r="W613" s="632">
        <f>CCBASE!$I$43*B613/1000</f>
        <v>88.624119999999991</v>
      </c>
      <c r="X613" s="632"/>
      <c r="Y613" s="632"/>
      <c r="Z613" s="632"/>
      <c r="AA613" s="632"/>
      <c r="AB613" s="632"/>
      <c r="AC613" s="632"/>
      <c r="AD613" s="651">
        <f>CCBASE!$I$35*2</f>
        <v>283.89648</v>
      </c>
      <c r="AI613" s="634"/>
      <c r="AJ613" s="634"/>
      <c r="AK613" s="635"/>
      <c r="AL613" s="635"/>
      <c r="AM613" s="635"/>
      <c r="AN613" s="635"/>
      <c r="AO613" s="635"/>
      <c r="AP613" s="635"/>
      <c r="AQ613" s="635"/>
      <c r="AR613" s="635"/>
      <c r="AS613" s="635"/>
    </row>
    <row r="614" spans="1:45" ht="17" thickBot="1" x14ac:dyDescent="0.25">
      <c r="A614" s="643" t="s">
        <v>762</v>
      </c>
      <c r="B614" s="630">
        <v>1250</v>
      </c>
      <c r="C614" s="630">
        <v>2000</v>
      </c>
      <c r="D614" s="650" t="str">
        <f t="shared" si="182"/>
        <v>KVX-M12502000</v>
      </c>
      <c r="E614" s="1046">
        <f t="shared" si="183"/>
        <v>1349.9013720749999</v>
      </c>
      <c r="F614" s="631">
        <v>17</v>
      </c>
      <c r="G614" s="632">
        <f>F614*CCBASE!$B$51</f>
        <v>612</v>
      </c>
      <c r="H614" s="632">
        <f>CCBASE!$I$12*B614/1000</f>
        <v>149.56317162500002</v>
      </c>
      <c r="I614" s="632"/>
      <c r="J614" s="632"/>
      <c r="K614" s="632"/>
      <c r="L614" s="637"/>
      <c r="M614" s="632">
        <f>CCBASE!$I$15*B614/1000</f>
        <v>99.807356250000012</v>
      </c>
      <c r="N614" s="632">
        <f>CCBASE!$I$7*B614/1000</f>
        <v>39.427849999999999</v>
      </c>
      <c r="O614" s="632">
        <f>CCBASE!$I$45*B614/1000</f>
        <v>12.4625</v>
      </c>
      <c r="P614" s="632"/>
      <c r="Q614" s="632">
        <f>CCBASE!$I$51</f>
        <v>2.9</v>
      </c>
      <c r="R614" s="632">
        <f>CCBASE!$I$4</f>
        <v>8.3986041999999994</v>
      </c>
      <c r="S614" s="632">
        <f>CCBASE!$I$8</f>
        <v>16.25526</v>
      </c>
      <c r="T614" s="631"/>
      <c r="U614" s="637">
        <f>CCBASE!$I$47</f>
        <v>14.41</v>
      </c>
      <c r="V614" s="631"/>
      <c r="W614" s="632">
        <f>CCBASE!$I$43*B614/1000</f>
        <v>110.78014999999999</v>
      </c>
      <c r="X614" s="632"/>
      <c r="Y614" s="632"/>
      <c r="Z614" s="632"/>
      <c r="AA614" s="632"/>
      <c r="AB614" s="632"/>
      <c r="AC614" s="632"/>
      <c r="AD614" s="651">
        <f>CCBASE!$I$35*2</f>
        <v>283.89648</v>
      </c>
      <c r="AI614" s="634"/>
      <c r="AJ614" s="634"/>
      <c r="AK614" s="635"/>
      <c r="AL614" s="635"/>
      <c r="AM614" s="635"/>
      <c r="AN614" s="635"/>
      <c r="AO614" s="635"/>
      <c r="AP614" s="635"/>
      <c r="AQ614" s="635"/>
      <c r="AR614" s="635"/>
      <c r="AS614" s="635"/>
    </row>
    <row r="615" spans="1:45" ht="17" thickBot="1" x14ac:dyDescent="0.25">
      <c r="A615" s="643" t="s">
        <v>762</v>
      </c>
      <c r="B615" s="630">
        <v>1500</v>
      </c>
      <c r="C615" s="630">
        <v>2000</v>
      </c>
      <c r="D615" s="650" t="str">
        <f t="shared" si="182"/>
        <v>KVX-M15002000</v>
      </c>
      <c r="E615" s="1046">
        <f t="shared" si="183"/>
        <v>1432.3095776499999</v>
      </c>
      <c r="F615" s="631">
        <v>17</v>
      </c>
      <c r="G615" s="632">
        <f>F615*CCBASE!$B$51</f>
        <v>612</v>
      </c>
      <c r="H615" s="632">
        <f>CCBASE!$I$12*B615/1000</f>
        <v>179.47580595000002</v>
      </c>
      <c r="I615" s="632"/>
      <c r="J615" s="632"/>
      <c r="K615" s="632"/>
      <c r="L615" s="637"/>
      <c r="M615" s="632">
        <f>CCBASE!$I$15*B615/1000</f>
        <v>119.76882750000001</v>
      </c>
      <c r="N615" s="632">
        <f>CCBASE!$I$7*B615/1000</f>
        <v>47.313420000000008</v>
      </c>
      <c r="O615" s="632">
        <f>CCBASE!$I$45*B615/1000</f>
        <v>14.955000000000002</v>
      </c>
      <c r="P615" s="632"/>
      <c r="Q615" s="632">
        <f>CCBASE!$I$51</f>
        <v>2.9</v>
      </c>
      <c r="R615" s="632">
        <f>CCBASE!$I$4</f>
        <v>8.3986041999999994</v>
      </c>
      <c r="S615" s="632">
        <f>CCBASE!$I$8</f>
        <v>16.25526</v>
      </c>
      <c r="T615" s="631"/>
      <c r="U615" s="637">
        <f>CCBASE!$I$47</f>
        <v>14.41</v>
      </c>
      <c r="V615" s="631"/>
      <c r="W615" s="632">
        <f>CCBASE!$I$43*B615/1000</f>
        <v>132.93617999999998</v>
      </c>
      <c r="X615" s="632"/>
      <c r="Y615" s="632"/>
      <c r="Z615" s="632"/>
      <c r="AA615" s="632"/>
      <c r="AB615" s="632"/>
      <c r="AC615" s="632"/>
      <c r="AD615" s="651">
        <f>CCBASE!$I$35*2</f>
        <v>283.89648</v>
      </c>
      <c r="AI615" s="634"/>
      <c r="AJ615" s="634"/>
      <c r="AK615" s="635"/>
      <c r="AL615" s="635"/>
      <c r="AM615" s="635"/>
      <c r="AN615" s="635"/>
      <c r="AO615" s="635"/>
      <c r="AP615" s="635"/>
      <c r="AQ615" s="635"/>
      <c r="AR615" s="635"/>
      <c r="AS615" s="635"/>
    </row>
    <row r="616" spans="1:45" ht="17" thickBot="1" x14ac:dyDescent="0.25">
      <c r="A616" s="643" t="s">
        <v>762</v>
      </c>
      <c r="B616" s="630">
        <v>1750</v>
      </c>
      <c r="C616" s="630">
        <v>2000</v>
      </c>
      <c r="D616" s="650" t="str">
        <f t="shared" si="182"/>
        <v>KVX-M17502000</v>
      </c>
      <c r="E616" s="1046">
        <f t="shared" si="183"/>
        <v>1550.7177832249999</v>
      </c>
      <c r="F616" s="631">
        <v>18</v>
      </c>
      <c r="G616" s="632">
        <f>F616*CCBASE!$B$51</f>
        <v>648</v>
      </c>
      <c r="H616" s="632">
        <f>CCBASE!$I$12*B616/1000</f>
        <v>209.38844027500002</v>
      </c>
      <c r="I616" s="632"/>
      <c r="J616" s="632"/>
      <c r="K616" s="632"/>
      <c r="L616" s="637"/>
      <c r="M616" s="632">
        <f>CCBASE!$I$15*B616/1000</f>
        <v>139.73029875</v>
      </c>
      <c r="N616" s="632">
        <f>CCBASE!$I$7*B616/1000</f>
        <v>55.198990000000002</v>
      </c>
      <c r="O616" s="632">
        <f>CCBASE!$I$45*B616/1000</f>
        <v>17.447500000000002</v>
      </c>
      <c r="P616" s="632"/>
      <c r="Q616" s="632">
        <f>CCBASE!$I$51</f>
        <v>2.9</v>
      </c>
      <c r="R616" s="632">
        <f>CCBASE!$I$4</f>
        <v>8.3986041999999994</v>
      </c>
      <c r="S616" s="632">
        <f>CCBASE!$I$8</f>
        <v>16.25526</v>
      </c>
      <c r="T616" s="631"/>
      <c r="U616" s="637">
        <f>CCBASE!$I$47</f>
        <v>14.41</v>
      </c>
      <c r="V616" s="631"/>
      <c r="W616" s="632">
        <f>CCBASE!$I$43*B616/1000</f>
        <v>155.09220999999999</v>
      </c>
      <c r="X616" s="632"/>
      <c r="Y616" s="632"/>
      <c r="Z616" s="632"/>
      <c r="AA616" s="632"/>
      <c r="AB616" s="632"/>
      <c r="AC616" s="632"/>
      <c r="AD616" s="651">
        <f>CCBASE!$I$35*2</f>
        <v>283.89648</v>
      </c>
      <c r="AI616" s="634"/>
      <c r="AJ616" s="634"/>
    </row>
    <row r="617" spans="1:45" ht="17" thickBot="1" x14ac:dyDescent="0.25">
      <c r="A617" s="643" t="s">
        <v>762</v>
      </c>
      <c r="B617" s="630">
        <v>2000</v>
      </c>
      <c r="C617" s="630">
        <v>2000</v>
      </c>
      <c r="D617" s="650" t="str">
        <f t="shared" si="182"/>
        <v>KVX-M20002000</v>
      </c>
      <c r="E617" s="1046">
        <f t="shared" si="183"/>
        <v>1633.1259888</v>
      </c>
      <c r="F617" s="631">
        <v>18</v>
      </c>
      <c r="G617" s="632">
        <f>F617*CCBASE!$B$51</f>
        <v>648</v>
      </c>
      <c r="H617" s="632">
        <f>CCBASE!$I$12*B617/1000</f>
        <v>239.30107460000002</v>
      </c>
      <c r="I617" s="632"/>
      <c r="J617" s="632"/>
      <c r="K617" s="632"/>
      <c r="L617" s="637"/>
      <c r="M617" s="632">
        <f>CCBASE!$I$15*B617/1000</f>
        <v>159.69177000000002</v>
      </c>
      <c r="N617" s="632">
        <f>CCBASE!$I$7*B617/1000</f>
        <v>63.084560000000003</v>
      </c>
      <c r="O617" s="632">
        <f>CCBASE!$I$45*B617/1000</f>
        <v>19.940000000000001</v>
      </c>
      <c r="P617" s="632"/>
      <c r="Q617" s="632">
        <f>CCBASE!$I$51</f>
        <v>2.9</v>
      </c>
      <c r="R617" s="632">
        <f>CCBASE!$I$4</f>
        <v>8.3986041999999994</v>
      </c>
      <c r="S617" s="632">
        <f>CCBASE!$I$8</f>
        <v>16.25526</v>
      </c>
      <c r="T617" s="631"/>
      <c r="U617" s="637">
        <f>CCBASE!$I$47</f>
        <v>14.41</v>
      </c>
      <c r="V617" s="631"/>
      <c r="W617" s="632">
        <f>CCBASE!$I$43*B617/1000</f>
        <v>177.24823999999998</v>
      </c>
      <c r="X617" s="632"/>
      <c r="Y617" s="632"/>
      <c r="Z617" s="632"/>
      <c r="AA617" s="632"/>
      <c r="AB617" s="632"/>
      <c r="AC617" s="632"/>
      <c r="AD617" s="651">
        <f>CCBASE!$I$35*2</f>
        <v>283.89648</v>
      </c>
      <c r="AI617" s="634"/>
      <c r="AJ617" s="634"/>
    </row>
    <row r="618" spans="1:45" ht="17" thickBot="1" x14ac:dyDescent="0.25">
      <c r="A618" s="643" t="s">
        <v>762</v>
      </c>
      <c r="B618" s="630">
        <v>2250</v>
      </c>
      <c r="C618" s="630">
        <v>2000</v>
      </c>
      <c r="D618" s="650" t="str">
        <f t="shared" si="182"/>
        <v>KVX-M22502000</v>
      </c>
      <c r="E618" s="1046">
        <f t="shared" si="183"/>
        <v>1729.9441943749998</v>
      </c>
      <c r="F618" s="631">
        <v>18</v>
      </c>
      <c r="G618" s="632">
        <f>F618*CCBASE!$B$51</f>
        <v>648</v>
      </c>
      <c r="H618" s="632">
        <f>CCBASE!$I$12*B618/1000</f>
        <v>269.21370892500005</v>
      </c>
      <c r="I618" s="632"/>
      <c r="J618" s="632"/>
      <c r="K618" s="632"/>
      <c r="L618" s="637"/>
      <c r="M618" s="632">
        <f>CCBASE!$I$15*B618/1000</f>
        <v>179.65324125000001</v>
      </c>
      <c r="N618" s="632">
        <f>CCBASE!$I$7*B618/1000</f>
        <v>70.970130000000012</v>
      </c>
      <c r="O618" s="632">
        <f>CCBASE!$I$45*B618/1000</f>
        <v>22.432500000000001</v>
      </c>
      <c r="P618" s="632"/>
      <c r="Q618" s="632">
        <f>CCBASE!$I$51</f>
        <v>2.9</v>
      </c>
      <c r="R618" s="632">
        <f>CCBASE!$I$4</f>
        <v>8.3986041999999994</v>
      </c>
      <c r="S618" s="632">
        <f>CCBASE!$I$8</f>
        <v>16.25526</v>
      </c>
      <c r="T618" s="631"/>
      <c r="U618" s="637">
        <f>CCBASE!$I$47*2</f>
        <v>28.82</v>
      </c>
      <c r="V618" s="631"/>
      <c r="W618" s="632">
        <f>CCBASE!$I$43*B618/1000</f>
        <v>199.40427</v>
      </c>
      <c r="X618" s="632"/>
      <c r="Y618" s="632"/>
      <c r="Z618" s="632"/>
      <c r="AA618" s="632"/>
      <c r="AB618" s="632"/>
      <c r="AC618" s="632"/>
      <c r="AD618" s="651">
        <f>CCBASE!$I$35*2</f>
        <v>283.89648</v>
      </c>
      <c r="AI618" s="634"/>
      <c r="AJ618" s="634"/>
    </row>
    <row r="619" spans="1:45" ht="17" thickBot="1" x14ac:dyDescent="0.25">
      <c r="A619" s="643" t="s">
        <v>762</v>
      </c>
      <c r="B619" s="630">
        <v>2500</v>
      </c>
      <c r="C619" s="630">
        <v>2000</v>
      </c>
      <c r="D619" s="650" t="str">
        <f t="shared" si="182"/>
        <v>KVX-M25002000</v>
      </c>
      <c r="E619" s="1046">
        <f t="shared" si="183"/>
        <v>1848.3523999499998</v>
      </c>
      <c r="F619" s="631">
        <v>19</v>
      </c>
      <c r="G619" s="632">
        <f>F619*CCBASE!$B$51</f>
        <v>684</v>
      </c>
      <c r="H619" s="632">
        <f>CCBASE!$I$12*B619/1000</f>
        <v>299.12634325000005</v>
      </c>
      <c r="I619" s="632"/>
      <c r="J619" s="632"/>
      <c r="K619" s="632"/>
      <c r="L619" s="637"/>
      <c r="M619" s="632">
        <f>CCBASE!$I$15*B619/1000</f>
        <v>199.61471250000002</v>
      </c>
      <c r="N619" s="632">
        <f>CCBASE!$I$7*B619/1000</f>
        <v>78.855699999999999</v>
      </c>
      <c r="O619" s="632">
        <f>CCBASE!$I$45*B619/1000</f>
        <v>24.925000000000001</v>
      </c>
      <c r="P619" s="632"/>
      <c r="Q619" s="632">
        <f>CCBASE!$I$51</f>
        <v>2.9</v>
      </c>
      <c r="R619" s="632">
        <f>CCBASE!$I$4</f>
        <v>8.3986041999999994</v>
      </c>
      <c r="S619" s="632">
        <f>CCBASE!$I$8</f>
        <v>16.25526</v>
      </c>
      <c r="T619" s="631"/>
      <c r="U619" s="637">
        <f>CCBASE!$I$47*2</f>
        <v>28.82</v>
      </c>
      <c r="V619" s="631"/>
      <c r="W619" s="632">
        <f>CCBASE!$I$43*B619/1000</f>
        <v>221.56029999999998</v>
      </c>
      <c r="X619" s="632"/>
      <c r="Y619" s="632"/>
      <c r="Z619" s="632"/>
      <c r="AA619" s="632"/>
      <c r="AB619" s="632"/>
      <c r="AC619" s="632"/>
      <c r="AD619" s="651">
        <f>CCBASE!$I$35*2</f>
        <v>283.89648</v>
      </c>
      <c r="AI619" s="634"/>
      <c r="AJ619" s="634"/>
      <c r="AR619" s="635"/>
      <c r="AS619" s="635"/>
    </row>
    <row r="620" spans="1:45" ht="17" thickBot="1" x14ac:dyDescent="0.25">
      <c r="A620" s="643" t="s">
        <v>762</v>
      </c>
      <c r="B620" s="630">
        <v>2750</v>
      </c>
      <c r="C620" s="630">
        <v>2000</v>
      </c>
      <c r="D620" s="650" t="str">
        <f t="shared" si="182"/>
        <v>KVX-M27502000</v>
      </c>
      <c r="E620" s="1046">
        <f t="shared" si="183"/>
        <v>1930.7606055249998</v>
      </c>
      <c r="F620" s="631">
        <v>19</v>
      </c>
      <c r="G620" s="632">
        <f>F620*CCBASE!$B$51</f>
        <v>684</v>
      </c>
      <c r="H620" s="632">
        <f>CCBASE!$I$12*B620/1000</f>
        <v>329.03897757500005</v>
      </c>
      <c r="I620" s="632"/>
      <c r="J620" s="632"/>
      <c r="K620" s="632"/>
      <c r="L620" s="637"/>
      <c r="M620" s="632">
        <f>CCBASE!$I$15*B620/1000</f>
        <v>219.57618375000001</v>
      </c>
      <c r="N620" s="632">
        <f>CCBASE!$I$7*B620/1000</f>
        <v>86.74127</v>
      </c>
      <c r="O620" s="632">
        <f>CCBASE!$I$45*B620/1000</f>
        <v>27.4175</v>
      </c>
      <c r="P620" s="632"/>
      <c r="Q620" s="632">
        <f>CCBASE!$I$51</f>
        <v>2.9</v>
      </c>
      <c r="R620" s="632">
        <f>CCBASE!$I$4</f>
        <v>8.3986041999999994</v>
      </c>
      <c r="S620" s="632">
        <f>CCBASE!$I$8</f>
        <v>16.25526</v>
      </c>
      <c r="T620" s="631"/>
      <c r="U620" s="637">
        <f>CCBASE!$I$47*2</f>
        <v>28.82</v>
      </c>
      <c r="V620" s="631"/>
      <c r="W620" s="632">
        <f>CCBASE!$I$43*B620/1000</f>
        <v>243.71633</v>
      </c>
      <c r="X620" s="632"/>
      <c r="Y620" s="632"/>
      <c r="Z620" s="632"/>
      <c r="AA620" s="632"/>
      <c r="AB620" s="632"/>
      <c r="AC620" s="632"/>
      <c r="AD620" s="651">
        <f>CCBASE!$I$35*2</f>
        <v>283.89648</v>
      </c>
      <c r="AI620" s="634"/>
      <c r="AJ620" s="634"/>
      <c r="AR620" s="635"/>
      <c r="AS620" s="635"/>
    </row>
    <row r="621" spans="1:45" ht="17" thickBot="1" x14ac:dyDescent="0.25">
      <c r="A621" s="643" t="s">
        <v>762</v>
      </c>
      <c r="B621" s="652">
        <v>3000</v>
      </c>
      <c r="C621" s="652">
        <v>2000</v>
      </c>
      <c r="D621" s="653" t="str">
        <f t="shared" si="182"/>
        <v>KVX-M30002000</v>
      </c>
      <c r="E621" s="1046">
        <f t="shared" si="183"/>
        <v>2013.1688110999999</v>
      </c>
      <c r="F621" s="631">
        <v>19</v>
      </c>
      <c r="G621" s="654">
        <f>F621*CCBASE!$B$51</f>
        <v>684</v>
      </c>
      <c r="H621" s="654">
        <f>CCBASE!$I$12*B621/1000</f>
        <v>358.95161190000005</v>
      </c>
      <c r="I621" s="654"/>
      <c r="J621" s="654"/>
      <c r="K621" s="654"/>
      <c r="L621" s="655"/>
      <c r="M621" s="654">
        <f>CCBASE!$I$15*B621/1000</f>
        <v>239.53765500000003</v>
      </c>
      <c r="N621" s="654">
        <f>CCBASE!$I$7*B621/1000</f>
        <v>94.626840000000016</v>
      </c>
      <c r="O621" s="654">
        <f>CCBASE!$I$45*B621/1000</f>
        <v>29.910000000000004</v>
      </c>
      <c r="P621" s="654"/>
      <c r="Q621" s="654">
        <f>CCBASE!$I$51</f>
        <v>2.9</v>
      </c>
      <c r="R621" s="654">
        <f>CCBASE!$I$4</f>
        <v>8.3986041999999994</v>
      </c>
      <c r="S621" s="654">
        <f>CCBASE!$I$8</f>
        <v>16.25526</v>
      </c>
      <c r="T621" s="656"/>
      <c r="U621" s="655">
        <f>CCBASE!$I$47*2</f>
        <v>28.82</v>
      </c>
      <c r="V621" s="656"/>
      <c r="W621" s="654">
        <f>CCBASE!$I$43*B621/1000</f>
        <v>265.87235999999996</v>
      </c>
      <c r="X621" s="654"/>
      <c r="Y621" s="654"/>
      <c r="Z621" s="654"/>
      <c r="AA621" s="654"/>
      <c r="AB621" s="654"/>
      <c r="AC621" s="654"/>
      <c r="AD621" s="657">
        <f>CCBASE!$I$35*2</f>
        <v>283.89648</v>
      </c>
      <c r="AI621" s="634"/>
      <c r="AJ621" s="634"/>
      <c r="AK621" s="635"/>
      <c r="AL621" s="635"/>
      <c r="AM621" s="635"/>
      <c r="AN621" s="635"/>
      <c r="AO621" s="635"/>
      <c r="AP621" s="635"/>
      <c r="AQ621" s="635"/>
      <c r="AR621" s="635"/>
      <c r="AS621" s="635"/>
    </row>
    <row r="622" spans="1:45" ht="17" thickBot="1" x14ac:dyDescent="0.25">
      <c r="A622" s="658" t="s">
        <v>763</v>
      </c>
      <c r="B622" s="644">
        <v>1000</v>
      </c>
      <c r="C622" s="644">
        <v>1000</v>
      </c>
      <c r="D622" s="645" t="str">
        <f>$A622&amp;B622&amp;C622</f>
        <v>UVX-M10001000</v>
      </c>
      <c r="E622" s="1046">
        <f t="shared" si="183"/>
        <v>1261.1119373999998</v>
      </c>
      <c r="F622" s="646">
        <v>21</v>
      </c>
      <c r="G622" s="647">
        <f>F622*CCBASE!$B$51</f>
        <v>756</v>
      </c>
      <c r="H622" s="647">
        <f>CCBASE!$I$11*B622/1000</f>
        <v>160.99296219999999</v>
      </c>
      <c r="I622" s="647"/>
      <c r="J622" s="647"/>
      <c r="K622" s="647"/>
      <c r="L622" s="646"/>
      <c r="M622" s="647">
        <f>CCBASE!$I$15*B622/1000</f>
        <v>79.84588500000001</v>
      </c>
      <c r="N622" s="647">
        <f>CCBASE!$I$7*B622/1000</f>
        <v>31.542280000000002</v>
      </c>
      <c r="O622" s="647">
        <f>CCBASE!$I$45*B622/1000</f>
        <v>9.9700000000000006</v>
      </c>
      <c r="P622" s="647">
        <f>CCBASE!$I$10</f>
        <v>30.661922000000001</v>
      </c>
      <c r="Q622" s="647">
        <f>CCBASE!$I$51</f>
        <v>2.9</v>
      </c>
      <c r="R622" s="647">
        <f>CCBASE!$I$4</f>
        <v>8.3986041999999994</v>
      </c>
      <c r="S622" s="647">
        <f>CCBASE!$I$8</f>
        <v>16.25526</v>
      </c>
      <c r="T622" s="646"/>
      <c r="U622" s="648">
        <f>CCBASE!$I$47</f>
        <v>14.41</v>
      </c>
      <c r="V622" s="647"/>
      <c r="W622" s="647">
        <f>CCBASE!$I$40*B622/1000</f>
        <v>41.308039999999998</v>
      </c>
      <c r="X622" s="647"/>
      <c r="Y622" s="647"/>
      <c r="Z622" s="647"/>
      <c r="AA622" s="647"/>
      <c r="AB622" s="647"/>
      <c r="AC622" s="647"/>
      <c r="AD622" s="649">
        <f>CCBASE!$I$32*2</f>
        <v>108.826984</v>
      </c>
      <c r="AI622" s="634"/>
      <c r="AJ622" s="634"/>
      <c r="AK622" s="635"/>
      <c r="AL622" s="635"/>
      <c r="AM622" s="635"/>
      <c r="AN622" s="635"/>
      <c r="AO622" s="635"/>
      <c r="AP622" s="635"/>
      <c r="AQ622" s="635"/>
      <c r="AR622" s="635"/>
      <c r="AS622" s="635"/>
    </row>
    <row r="623" spans="1:45" ht="17" thickBot="1" x14ac:dyDescent="0.25">
      <c r="A623" s="658" t="s">
        <v>763</v>
      </c>
      <c r="B623" s="630">
        <v>1250</v>
      </c>
      <c r="C623" s="630">
        <v>1000</v>
      </c>
      <c r="D623" s="650" t="str">
        <f t="shared" ref="D623:D666" si="184">$A623&amp;B623&amp;C623</f>
        <v>UVX-M12501000</v>
      </c>
      <c r="E623" s="1046">
        <f t="shared" si="183"/>
        <v>1342.0267292000003</v>
      </c>
      <c r="F623" s="631">
        <v>21</v>
      </c>
      <c r="G623" s="632">
        <f>F623*CCBASE!$B$51</f>
        <v>756</v>
      </c>
      <c r="H623" s="632">
        <f>CCBASE!$I$11*B623/1000</f>
        <v>201.24120274999999</v>
      </c>
      <c r="I623" s="632"/>
      <c r="J623" s="632"/>
      <c r="K623" s="632"/>
      <c r="L623" s="631"/>
      <c r="M623" s="632">
        <f>CCBASE!$I$15*B623/1000</f>
        <v>99.807356250000012</v>
      </c>
      <c r="N623" s="632">
        <f>CCBASE!$I$7*B623/1000</f>
        <v>39.427849999999999</v>
      </c>
      <c r="O623" s="632">
        <f>CCBASE!$I$45*B623/1000</f>
        <v>12.4625</v>
      </c>
      <c r="P623" s="632">
        <f>CCBASE!$I$10</f>
        <v>30.661922000000001</v>
      </c>
      <c r="Q623" s="632">
        <f>CCBASE!$I$51</f>
        <v>2.9</v>
      </c>
      <c r="R623" s="632">
        <f>CCBASE!$I$4</f>
        <v>8.3986041999999994</v>
      </c>
      <c r="S623" s="632">
        <f>CCBASE!$I$8</f>
        <v>16.25526</v>
      </c>
      <c r="T623" s="631"/>
      <c r="U623" s="637">
        <f>CCBASE!$I$47</f>
        <v>14.41</v>
      </c>
      <c r="V623" s="632"/>
      <c r="W623" s="632">
        <f>CCBASE!$I$40*B623/1000</f>
        <v>51.635049999999993</v>
      </c>
      <c r="X623" s="632"/>
      <c r="Y623" s="632"/>
      <c r="Z623" s="632"/>
      <c r="AA623" s="632"/>
      <c r="AB623" s="632"/>
      <c r="AC623" s="632"/>
      <c r="AD623" s="651">
        <f>CCBASE!$I$32*2</f>
        <v>108.826984</v>
      </c>
      <c r="AI623" s="634"/>
      <c r="AJ623" s="634"/>
      <c r="AK623" s="635"/>
      <c r="AL623" s="635"/>
      <c r="AM623" s="635"/>
      <c r="AN623" s="635"/>
      <c r="AO623" s="635"/>
      <c r="AP623" s="635"/>
      <c r="AQ623" s="635"/>
      <c r="AR623" s="635"/>
      <c r="AS623" s="635"/>
    </row>
    <row r="624" spans="1:45" ht="17" thickBot="1" x14ac:dyDescent="0.25">
      <c r="A624" s="658" t="s">
        <v>763</v>
      </c>
      <c r="B624" s="630">
        <v>1500</v>
      </c>
      <c r="C624" s="630">
        <v>1000</v>
      </c>
      <c r="D624" s="650" t="str">
        <f t="shared" si="184"/>
        <v>UVX-M15001000</v>
      </c>
      <c r="E624" s="1046">
        <f t="shared" si="183"/>
        <v>1422.941521</v>
      </c>
      <c r="F624" s="631">
        <v>21</v>
      </c>
      <c r="G624" s="632">
        <f>F624*CCBASE!$B$51</f>
        <v>756</v>
      </c>
      <c r="H624" s="632">
        <f>CCBASE!$I$11*B624/1000</f>
        <v>241.48944329999998</v>
      </c>
      <c r="I624" s="632"/>
      <c r="J624" s="632"/>
      <c r="K624" s="632"/>
      <c r="L624" s="631"/>
      <c r="M624" s="632">
        <f>CCBASE!$I$15*B624/1000</f>
        <v>119.76882750000001</v>
      </c>
      <c r="N624" s="632">
        <f>CCBASE!$I$7*B624/1000</f>
        <v>47.313420000000008</v>
      </c>
      <c r="O624" s="632">
        <f>CCBASE!$I$45*B624/1000</f>
        <v>14.955000000000002</v>
      </c>
      <c r="P624" s="632">
        <f>CCBASE!$I$10</f>
        <v>30.661922000000001</v>
      </c>
      <c r="Q624" s="632">
        <f>CCBASE!$I$51</f>
        <v>2.9</v>
      </c>
      <c r="R624" s="632">
        <f>CCBASE!$I$4</f>
        <v>8.3986041999999994</v>
      </c>
      <c r="S624" s="632">
        <f>CCBASE!$I$8</f>
        <v>16.25526</v>
      </c>
      <c r="T624" s="631"/>
      <c r="U624" s="637">
        <f>CCBASE!$I$47</f>
        <v>14.41</v>
      </c>
      <c r="V624" s="632"/>
      <c r="W624" s="632">
        <f>CCBASE!$I$40*B624/1000</f>
        <v>61.962060000000001</v>
      </c>
      <c r="X624" s="632"/>
      <c r="Y624" s="632"/>
      <c r="Z624" s="632"/>
      <c r="AA624" s="632"/>
      <c r="AB624" s="632"/>
      <c r="AC624" s="632"/>
      <c r="AD624" s="651">
        <f>CCBASE!$I$32*2</f>
        <v>108.826984</v>
      </c>
      <c r="AI624" s="634"/>
      <c r="AJ624" s="634"/>
      <c r="AK624" s="635"/>
      <c r="AL624" s="635"/>
      <c r="AM624" s="635"/>
      <c r="AN624" s="635"/>
      <c r="AO624" s="635"/>
      <c r="AP624" s="635"/>
      <c r="AQ624" s="635"/>
      <c r="AR624" s="635"/>
      <c r="AS624" s="635"/>
    </row>
    <row r="625" spans="1:45" ht="17" thickBot="1" x14ac:dyDescent="0.25">
      <c r="A625" s="658" t="s">
        <v>763</v>
      </c>
      <c r="B625" s="630">
        <v>1750</v>
      </c>
      <c r="C625" s="630">
        <v>1000</v>
      </c>
      <c r="D625" s="650" t="str">
        <f t="shared" si="184"/>
        <v>UVX-M17501000</v>
      </c>
      <c r="E625" s="1046">
        <f t="shared" si="183"/>
        <v>1503.8563128000001</v>
      </c>
      <c r="F625" s="631">
        <v>21</v>
      </c>
      <c r="G625" s="632">
        <f>F625*CCBASE!$B$51</f>
        <v>756</v>
      </c>
      <c r="H625" s="632">
        <f>CCBASE!$I$11*B625/1000</f>
        <v>281.73768385</v>
      </c>
      <c r="I625" s="632"/>
      <c r="J625" s="632"/>
      <c r="K625" s="632"/>
      <c r="L625" s="631"/>
      <c r="M625" s="632">
        <f>CCBASE!$I$15*B625/1000</f>
        <v>139.73029875</v>
      </c>
      <c r="N625" s="632">
        <f>CCBASE!$I$7*B625/1000</f>
        <v>55.198990000000002</v>
      </c>
      <c r="O625" s="632">
        <f>CCBASE!$I$45*B625/1000</f>
        <v>17.447500000000002</v>
      </c>
      <c r="P625" s="632">
        <f>CCBASE!$I$10</f>
        <v>30.661922000000001</v>
      </c>
      <c r="Q625" s="632">
        <f>CCBASE!$I$51</f>
        <v>2.9</v>
      </c>
      <c r="R625" s="632">
        <f>CCBASE!$I$4</f>
        <v>8.3986041999999994</v>
      </c>
      <c r="S625" s="632">
        <f>CCBASE!$I$8</f>
        <v>16.25526</v>
      </c>
      <c r="T625" s="631"/>
      <c r="U625" s="637">
        <f>CCBASE!$I$47</f>
        <v>14.41</v>
      </c>
      <c r="V625" s="632"/>
      <c r="W625" s="632">
        <f>CCBASE!$I$40*B625/1000</f>
        <v>72.289069999999995</v>
      </c>
      <c r="X625" s="632"/>
      <c r="Y625" s="632"/>
      <c r="Z625" s="632"/>
      <c r="AA625" s="632"/>
      <c r="AB625" s="632"/>
      <c r="AC625" s="632"/>
      <c r="AD625" s="651">
        <f>CCBASE!$I$32*2</f>
        <v>108.826984</v>
      </c>
      <c r="AI625" s="634"/>
      <c r="AJ625" s="634"/>
      <c r="AK625" s="635"/>
      <c r="AL625" s="635"/>
      <c r="AM625" s="635"/>
      <c r="AN625" s="635"/>
      <c r="AO625" s="635"/>
      <c r="AP625" s="635"/>
      <c r="AQ625" s="635"/>
      <c r="AR625" s="635"/>
      <c r="AS625" s="635"/>
    </row>
    <row r="626" spans="1:45" ht="17" thickBot="1" x14ac:dyDescent="0.25">
      <c r="A626" s="658" t="s">
        <v>763</v>
      </c>
      <c r="B626" s="630">
        <v>2000</v>
      </c>
      <c r="C626" s="630">
        <v>1000</v>
      </c>
      <c r="D626" s="650" t="str">
        <f t="shared" si="184"/>
        <v>UVX-M20001000</v>
      </c>
      <c r="E626" s="1046">
        <f t="shared" si="183"/>
        <v>1593.8203048999999</v>
      </c>
      <c r="F626" s="631">
        <v>21</v>
      </c>
      <c r="G626" s="632">
        <f>F626*CCBASE!$B$51</f>
        <v>756</v>
      </c>
      <c r="H626" s="632">
        <f>CCBASE!$I$11*B626/1000</f>
        <v>321.98592439999999</v>
      </c>
      <c r="I626" s="632"/>
      <c r="J626" s="632"/>
      <c r="K626" s="632"/>
      <c r="L626" s="631"/>
      <c r="M626" s="632">
        <f>CCBASE!$I$15*B626/1000</f>
        <v>159.69177000000002</v>
      </c>
      <c r="N626" s="632">
        <f>CCBASE!$I$7*B626/1000</f>
        <v>63.084560000000003</v>
      </c>
      <c r="O626" s="632">
        <f>CCBASE!$I$45*B626/1000</f>
        <v>19.940000000000001</v>
      </c>
      <c r="P626" s="632">
        <f>CCBASE!$I$9</f>
        <v>39.7111223</v>
      </c>
      <c r="Q626" s="632">
        <f>CCBASE!$I$51</f>
        <v>2.9</v>
      </c>
      <c r="R626" s="632">
        <f>CCBASE!$I$4</f>
        <v>8.3986041999999994</v>
      </c>
      <c r="S626" s="632">
        <f>CCBASE!$I$8</f>
        <v>16.25526</v>
      </c>
      <c r="T626" s="631"/>
      <c r="U626" s="637">
        <f>CCBASE!$I$47</f>
        <v>14.41</v>
      </c>
      <c r="V626" s="632"/>
      <c r="W626" s="632">
        <f>CCBASE!$I$40*B626/1000</f>
        <v>82.616079999999997</v>
      </c>
      <c r="X626" s="632"/>
      <c r="Y626" s="632"/>
      <c r="Z626" s="632"/>
      <c r="AA626" s="632"/>
      <c r="AB626" s="632"/>
      <c r="AC626" s="632"/>
      <c r="AD626" s="651">
        <f>CCBASE!$I$32*2</f>
        <v>108.826984</v>
      </c>
      <c r="AI626" s="634"/>
      <c r="AJ626" s="634"/>
      <c r="AN626" s="635"/>
      <c r="AO626" s="635"/>
      <c r="AP626" s="635"/>
      <c r="AQ626" s="635"/>
      <c r="AR626" s="635"/>
      <c r="AS626" s="635"/>
    </row>
    <row r="627" spans="1:45" ht="17" thickBot="1" x14ac:dyDescent="0.25">
      <c r="A627" s="658" t="s">
        <v>763</v>
      </c>
      <c r="B627" s="630">
        <v>2250</v>
      </c>
      <c r="C627" s="630">
        <v>1000</v>
      </c>
      <c r="D627" s="650" t="str">
        <f t="shared" si="184"/>
        <v>UVX-M22501000</v>
      </c>
      <c r="E627" s="1046">
        <f t="shared" si="183"/>
        <v>1725.1450966999996</v>
      </c>
      <c r="F627" s="631">
        <v>22</v>
      </c>
      <c r="G627" s="632">
        <f>F627*CCBASE!$B$51</f>
        <v>792</v>
      </c>
      <c r="H627" s="632">
        <f>CCBASE!$I$11*B627/1000</f>
        <v>362.23416494999998</v>
      </c>
      <c r="I627" s="632"/>
      <c r="J627" s="632"/>
      <c r="K627" s="632"/>
      <c r="L627" s="631"/>
      <c r="M627" s="632">
        <f>CCBASE!$I$15*B627/1000</f>
        <v>179.65324125000001</v>
      </c>
      <c r="N627" s="632">
        <f>CCBASE!$I$7*B627/1000</f>
        <v>70.970130000000012</v>
      </c>
      <c r="O627" s="632">
        <f>CCBASE!$I$45*B627/1000</f>
        <v>22.432500000000001</v>
      </c>
      <c r="P627" s="632">
        <f>CCBASE!$I$9</f>
        <v>39.7111223</v>
      </c>
      <c r="Q627" s="632">
        <f>CCBASE!$I$51</f>
        <v>2.9</v>
      </c>
      <c r="R627" s="632">
        <f>CCBASE!$I$4</f>
        <v>8.3986041999999994</v>
      </c>
      <c r="S627" s="632">
        <f>CCBASE!$I$8</f>
        <v>16.25526</v>
      </c>
      <c r="T627" s="631"/>
      <c r="U627" s="637">
        <f>CCBASE!$I$47*2</f>
        <v>28.82</v>
      </c>
      <c r="V627" s="632"/>
      <c r="W627" s="632">
        <f>CCBASE!$I$40*B627/1000</f>
        <v>92.943089999999998</v>
      </c>
      <c r="X627" s="632"/>
      <c r="Y627" s="632"/>
      <c r="Z627" s="632"/>
      <c r="AA627" s="632"/>
      <c r="AB627" s="632"/>
      <c r="AC627" s="632"/>
      <c r="AD627" s="651">
        <f>CCBASE!$I$32*2</f>
        <v>108.826984</v>
      </c>
      <c r="AI627" s="634"/>
      <c r="AJ627" s="634"/>
      <c r="AN627" s="635"/>
      <c r="AO627" s="635"/>
      <c r="AP627" s="635"/>
      <c r="AQ627" s="635"/>
      <c r="AR627" s="635"/>
      <c r="AS627" s="635"/>
    </row>
    <row r="628" spans="1:45" ht="17" thickBot="1" x14ac:dyDescent="0.25">
      <c r="A628" s="658" t="s">
        <v>763</v>
      </c>
      <c r="B628" s="630">
        <v>2500</v>
      </c>
      <c r="C628" s="630">
        <v>1000</v>
      </c>
      <c r="D628" s="650" t="str">
        <f t="shared" si="184"/>
        <v>UVX-M25001000</v>
      </c>
      <c r="E628" s="1046">
        <f t="shared" si="183"/>
        <v>1806.0598884999997</v>
      </c>
      <c r="F628" s="631">
        <v>22</v>
      </c>
      <c r="G628" s="632">
        <f>F628*CCBASE!$B$51</f>
        <v>792</v>
      </c>
      <c r="H628" s="632">
        <f>CCBASE!$I$11*B628/1000</f>
        <v>402.48240549999997</v>
      </c>
      <c r="I628" s="632"/>
      <c r="J628" s="632"/>
      <c r="K628" s="632"/>
      <c r="L628" s="631"/>
      <c r="M628" s="632">
        <f>CCBASE!$I$15*B628/1000</f>
        <v>199.61471250000002</v>
      </c>
      <c r="N628" s="632">
        <f>CCBASE!$I$7*B628/1000</f>
        <v>78.855699999999999</v>
      </c>
      <c r="O628" s="632">
        <f>CCBASE!$I$45*B628/1000</f>
        <v>24.925000000000001</v>
      </c>
      <c r="P628" s="632">
        <f>CCBASE!$I$9</f>
        <v>39.7111223</v>
      </c>
      <c r="Q628" s="632">
        <f>CCBASE!$I$51</f>
        <v>2.9</v>
      </c>
      <c r="R628" s="632">
        <f>CCBASE!$I$4</f>
        <v>8.3986041999999994</v>
      </c>
      <c r="S628" s="632">
        <f>CCBASE!$I$8</f>
        <v>16.25526</v>
      </c>
      <c r="T628" s="631"/>
      <c r="U628" s="637">
        <f>CCBASE!$I$47*2</f>
        <v>28.82</v>
      </c>
      <c r="V628" s="632"/>
      <c r="W628" s="632">
        <f>CCBASE!$I$40*B628/1000</f>
        <v>103.27009999999999</v>
      </c>
      <c r="X628" s="632"/>
      <c r="Y628" s="632"/>
      <c r="Z628" s="632"/>
      <c r="AA628" s="632"/>
      <c r="AB628" s="632"/>
      <c r="AC628" s="632"/>
      <c r="AD628" s="651">
        <f>CCBASE!$I$32*2</f>
        <v>108.826984</v>
      </c>
      <c r="AI628" s="634"/>
      <c r="AJ628" s="634"/>
      <c r="AN628" s="635"/>
      <c r="AO628" s="635"/>
      <c r="AP628" s="635"/>
      <c r="AQ628" s="635"/>
      <c r="AR628" s="635"/>
      <c r="AS628" s="635"/>
    </row>
    <row r="629" spans="1:45" ht="17" thickBot="1" x14ac:dyDescent="0.25">
      <c r="A629" s="658" t="s">
        <v>763</v>
      </c>
      <c r="B629" s="630">
        <v>2750</v>
      </c>
      <c r="C629" s="630">
        <v>1000</v>
      </c>
      <c r="D629" s="650" t="str">
        <f t="shared" si="184"/>
        <v>UVX-M27501000</v>
      </c>
      <c r="E629" s="1046">
        <f t="shared" si="183"/>
        <v>1922.9746802999996</v>
      </c>
      <c r="F629" s="631">
        <v>23</v>
      </c>
      <c r="G629" s="632">
        <f>F629*CCBASE!$B$51</f>
        <v>828</v>
      </c>
      <c r="H629" s="632">
        <f>CCBASE!$I$11*B629/1000</f>
        <v>442.73064604999996</v>
      </c>
      <c r="I629" s="632"/>
      <c r="J629" s="632"/>
      <c r="K629" s="632"/>
      <c r="L629" s="631"/>
      <c r="M629" s="632">
        <f>CCBASE!$I$15*B629/1000</f>
        <v>219.57618375000001</v>
      </c>
      <c r="N629" s="632">
        <f>CCBASE!$I$7*B629/1000</f>
        <v>86.74127</v>
      </c>
      <c r="O629" s="632">
        <f>CCBASE!$I$45*B629/1000</f>
        <v>27.4175</v>
      </c>
      <c r="P629" s="632">
        <f>CCBASE!$I$9</f>
        <v>39.7111223</v>
      </c>
      <c r="Q629" s="632">
        <f>CCBASE!$I$51</f>
        <v>2.9</v>
      </c>
      <c r="R629" s="632">
        <f>CCBASE!$I$4</f>
        <v>8.3986041999999994</v>
      </c>
      <c r="S629" s="632">
        <f>CCBASE!$I$8</f>
        <v>16.25526</v>
      </c>
      <c r="T629" s="631"/>
      <c r="U629" s="637">
        <f>CCBASE!$I$47*2</f>
        <v>28.82</v>
      </c>
      <c r="V629" s="632"/>
      <c r="W629" s="632">
        <f>CCBASE!$I$40*B629/1000</f>
        <v>113.59711</v>
      </c>
      <c r="X629" s="632"/>
      <c r="Y629" s="632"/>
      <c r="Z629" s="632"/>
      <c r="AA629" s="632"/>
      <c r="AB629" s="632"/>
      <c r="AC629" s="632"/>
      <c r="AD629" s="651">
        <f>CCBASE!$I$32*2</f>
        <v>108.826984</v>
      </c>
      <c r="AI629" s="634"/>
      <c r="AJ629" s="634"/>
      <c r="AN629" s="635"/>
      <c r="AO629" s="635"/>
      <c r="AP629" s="635"/>
      <c r="AQ629" s="635"/>
      <c r="AR629" s="635"/>
      <c r="AS629" s="635"/>
    </row>
    <row r="630" spans="1:45" ht="17" thickBot="1" x14ac:dyDescent="0.25">
      <c r="A630" s="658" t="s">
        <v>763</v>
      </c>
      <c r="B630" s="630">
        <v>3000</v>
      </c>
      <c r="C630" s="630">
        <v>1000</v>
      </c>
      <c r="D630" s="650" t="str">
        <f t="shared" si="184"/>
        <v>UVX-M30001000</v>
      </c>
      <c r="E630" s="1046">
        <f t="shared" si="183"/>
        <v>2003.8894720999997</v>
      </c>
      <c r="F630" s="631">
        <v>23</v>
      </c>
      <c r="G630" s="632">
        <f>F630*CCBASE!$B$51</f>
        <v>828</v>
      </c>
      <c r="H630" s="632">
        <f>CCBASE!$I$11*B630/1000</f>
        <v>482.97888659999995</v>
      </c>
      <c r="I630" s="632"/>
      <c r="J630" s="632"/>
      <c r="K630" s="632"/>
      <c r="L630" s="631"/>
      <c r="M630" s="632">
        <f>CCBASE!$I$15*B630/1000</f>
        <v>239.53765500000003</v>
      </c>
      <c r="N630" s="632">
        <f>CCBASE!$I$7*B630/1000</f>
        <v>94.626840000000016</v>
      </c>
      <c r="O630" s="632">
        <f>CCBASE!$I$45*B630/1000</f>
        <v>29.910000000000004</v>
      </c>
      <c r="P630" s="632">
        <f>CCBASE!$I$9</f>
        <v>39.7111223</v>
      </c>
      <c r="Q630" s="632">
        <f>CCBASE!$I$51</f>
        <v>2.9</v>
      </c>
      <c r="R630" s="632">
        <f>CCBASE!$I$4</f>
        <v>8.3986041999999994</v>
      </c>
      <c r="S630" s="632">
        <f>CCBASE!$I$8</f>
        <v>16.25526</v>
      </c>
      <c r="T630" s="631"/>
      <c r="U630" s="637">
        <f>CCBASE!$I$47*2</f>
        <v>28.82</v>
      </c>
      <c r="V630" s="632"/>
      <c r="W630" s="632">
        <f>CCBASE!$I$40*B630/1000</f>
        <v>123.92412</v>
      </c>
      <c r="X630" s="632"/>
      <c r="Y630" s="632"/>
      <c r="Z630" s="632"/>
      <c r="AA630" s="632"/>
      <c r="AB630" s="632"/>
      <c r="AC630" s="632"/>
      <c r="AD630" s="651">
        <f>CCBASE!$I$32*2</f>
        <v>108.826984</v>
      </c>
      <c r="AI630" s="634"/>
      <c r="AJ630" s="634"/>
      <c r="AN630" s="635"/>
      <c r="AO630" s="635"/>
      <c r="AP630" s="635"/>
      <c r="AQ630" s="635"/>
      <c r="AR630" s="635"/>
      <c r="AS630" s="635"/>
    </row>
    <row r="631" spans="1:45" ht="17" thickBot="1" x14ac:dyDescent="0.25">
      <c r="A631" s="658" t="s">
        <v>763</v>
      </c>
      <c r="B631" s="630">
        <v>1000</v>
      </c>
      <c r="C631" s="630">
        <v>1250</v>
      </c>
      <c r="D631" s="650" t="str">
        <f t="shared" si="184"/>
        <v>UVX-M10001250</v>
      </c>
      <c r="E631" s="1046">
        <f t="shared" si="183"/>
        <v>1261.1119373999998</v>
      </c>
      <c r="F631" s="646">
        <v>21</v>
      </c>
      <c r="G631" s="632">
        <f>F631*CCBASE!$B$51</f>
        <v>756</v>
      </c>
      <c r="H631" s="632">
        <f>CCBASE!$I$11*B631/1000</f>
        <v>160.99296219999999</v>
      </c>
      <c r="I631" s="632"/>
      <c r="J631" s="632"/>
      <c r="K631" s="632"/>
      <c r="L631" s="631"/>
      <c r="M631" s="632">
        <f>CCBASE!$I$15*B631/1000</f>
        <v>79.84588500000001</v>
      </c>
      <c r="N631" s="632">
        <f>CCBASE!$I$7*B631/1000</f>
        <v>31.542280000000002</v>
      </c>
      <c r="O631" s="632">
        <f>CCBASE!$I$45*B631/1000</f>
        <v>9.9700000000000006</v>
      </c>
      <c r="P631" s="632">
        <f>CCBASE!$I$10</f>
        <v>30.661922000000001</v>
      </c>
      <c r="Q631" s="632">
        <f>CCBASE!$I$51</f>
        <v>2.9</v>
      </c>
      <c r="R631" s="632">
        <f>CCBASE!$I$4</f>
        <v>8.3986041999999994</v>
      </c>
      <c r="S631" s="632">
        <f>CCBASE!$I$8</f>
        <v>16.25526</v>
      </c>
      <c r="T631" s="631"/>
      <c r="U631" s="637">
        <f>CCBASE!$I$47</f>
        <v>14.41</v>
      </c>
      <c r="V631" s="632"/>
      <c r="W631" s="632">
        <f>CCBASE!$I$40*B631/1000</f>
        <v>41.308039999999998</v>
      </c>
      <c r="X631" s="632"/>
      <c r="Y631" s="632"/>
      <c r="Z631" s="632"/>
      <c r="AA631" s="632"/>
      <c r="AB631" s="632"/>
      <c r="AC631" s="632"/>
      <c r="AD631" s="651">
        <f>CCBASE!$I$32*2</f>
        <v>108.826984</v>
      </c>
      <c r="AI631" s="634"/>
      <c r="AJ631" s="634"/>
      <c r="AK631" s="635"/>
      <c r="AL631" s="635"/>
      <c r="AM631" s="635"/>
      <c r="AN631" s="635"/>
      <c r="AO631" s="635"/>
      <c r="AP631" s="635"/>
      <c r="AQ631" s="635"/>
      <c r="AR631" s="635"/>
      <c r="AS631" s="635"/>
    </row>
    <row r="632" spans="1:45" ht="17" thickBot="1" x14ac:dyDescent="0.25">
      <c r="A632" s="658" t="s">
        <v>763</v>
      </c>
      <c r="B632" s="630">
        <v>1250</v>
      </c>
      <c r="C632" s="630">
        <v>1250</v>
      </c>
      <c r="D632" s="650" t="str">
        <f t="shared" si="184"/>
        <v>UVX-M12501250</v>
      </c>
      <c r="E632" s="1046">
        <f t="shared" si="183"/>
        <v>1342.0267292000003</v>
      </c>
      <c r="F632" s="631">
        <v>21</v>
      </c>
      <c r="G632" s="632">
        <f>F632*CCBASE!$B$51</f>
        <v>756</v>
      </c>
      <c r="H632" s="632">
        <f>CCBASE!$I$11*B632/1000</f>
        <v>201.24120274999999</v>
      </c>
      <c r="I632" s="632"/>
      <c r="J632" s="632"/>
      <c r="K632" s="632"/>
      <c r="L632" s="631"/>
      <c r="M632" s="632">
        <f>CCBASE!$I$15*B632/1000</f>
        <v>99.807356250000012</v>
      </c>
      <c r="N632" s="632">
        <f>CCBASE!$I$7*B632/1000</f>
        <v>39.427849999999999</v>
      </c>
      <c r="O632" s="632">
        <f>CCBASE!$I$45*B632/1000</f>
        <v>12.4625</v>
      </c>
      <c r="P632" s="632">
        <f>CCBASE!$I$10</f>
        <v>30.661922000000001</v>
      </c>
      <c r="Q632" s="632">
        <f>CCBASE!$I$51</f>
        <v>2.9</v>
      </c>
      <c r="R632" s="632">
        <f>CCBASE!$I$4</f>
        <v>8.3986041999999994</v>
      </c>
      <c r="S632" s="632">
        <f>CCBASE!$I$8</f>
        <v>16.25526</v>
      </c>
      <c r="T632" s="631"/>
      <c r="U632" s="637">
        <f>CCBASE!$I$47</f>
        <v>14.41</v>
      </c>
      <c r="V632" s="632"/>
      <c r="W632" s="632">
        <f>CCBASE!$I$40*B632/1000</f>
        <v>51.635049999999993</v>
      </c>
      <c r="X632" s="632"/>
      <c r="Y632" s="632"/>
      <c r="Z632" s="632"/>
      <c r="AA632" s="632"/>
      <c r="AB632" s="632"/>
      <c r="AC632" s="632"/>
      <c r="AD632" s="651">
        <f>CCBASE!$I$32*2</f>
        <v>108.826984</v>
      </c>
      <c r="AI632" s="634"/>
      <c r="AJ632" s="634"/>
      <c r="AK632" s="635"/>
      <c r="AL632" s="635"/>
      <c r="AM632" s="635"/>
      <c r="AN632" s="635"/>
      <c r="AO632" s="635"/>
      <c r="AP632" s="635"/>
      <c r="AQ632" s="635"/>
      <c r="AR632" s="635"/>
      <c r="AS632" s="635"/>
    </row>
    <row r="633" spans="1:45" ht="17" thickBot="1" x14ac:dyDescent="0.25">
      <c r="A633" s="658" t="s">
        <v>763</v>
      </c>
      <c r="B633" s="630">
        <v>1500</v>
      </c>
      <c r="C633" s="630">
        <v>1250</v>
      </c>
      <c r="D633" s="650" t="str">
        <f t="shared" si="184"/>
        <v>UVX-M15001250</v>
      </c>
      <c r="E633" s="1046">
        <f t="shared" si="183"/>
        <v>1422.941521</v>
      </c>
      <c r="F633" s="631">
        <v>21</v>
      </c>
      <c r="G633" s="632">
        <f>F633*CCBASE!$B$51</f>
        <v>756</v>
      </c>
      <c r="H633" s="632">
        <f>CCBASE!$I$11*B633/1000</f>
        <v>241.48944329999998</v>
      </c>
      <c r="I633" s="632"/>
      <c r="J633" s="632"/>
      <c r="K633" s="632"/>
      <c r="L633" s="631"/>
      <c r="M633" s="632">
        <f>CCBASE!$I$15*B633/1000</f>
        <v>119.76882750000001</v>
      </c>
      <c r="N633" s="632">
        <f>CCBASE!$I$7*B633/1000</f>
        <v>47.313420000000008</v>
      </c>
      <c r="O633" s="632">
        <f>CCBASE!$I$45*B633/1000</f>
        <v>14.955000000000002</v>
      </c>
      <c r="P633" s="632">
        <f>CCBASE!$I$10</f>
        <v>30.661922000000001</v>
      </c>
      <c r="Q633" s="632">
        <f>CCBASE!$I$51</f>
        <v>2.9</v>
      </c>
      <c r="R633" s="632">
        <f>CCBASE!$I$4</f>
        <v>8.3986041999999994</v>
      </c>
      <c r="S633" s="632">
        <f>CCBASE!$I$8</f>
        <v>16.25526</v>
      </c>
      <c r="T633" s="631"/>
      <c r="U633" s="637">
        <f>CCBASE!$I$47</f>
        <v>14.41</v>
      </c>
      <c r="V633" s="632"/>
      <c r="W633" s="632">
        <f>CCBASE!$I$40*B633/1000</f>
        <v>61.962060000000001</v>
      </c>
      <c r="X633" s="632"/>
      <c r="Y633" s="632"/>
      <c r="Z633" s="632"/>
      <c r="AA633" s="632"/>
      <c r="AB633" s="632"/>
      <c r="AC633" s="632"/>
      <c r="AD633" s="651">
        <f>CCBASE!$I$32*2</f>
        <v>108.826984</v>
      </c>
      <c r="AI633" s="634"/>
      <c r="AJ633" s="634"/>
      <c r="AK633" s="635"/>
      <c r="AL633" s="635"/>
      <c r="AM633" s="635"/>
      <c r="AN633" s="635"/>
      <c r="AO633" s="635"/>
      <c r="AP633" s="635"/>
      <c r="AQ633" s="635"/>
      <c r="AR633" s="635"/>
      <c r="AS633" s="635"/>
    </row>
    <row r="634" spans="1:45" ht="17" thickBot="1" x14ac:dyDescent="0.25">
      <c r="A634" s="658" t="s">
        <v>763</v>
      </c>
      <c r="B634" s="630">
        <v>1750</v>
      </c>
      <c r="C634" s="630">
        <v>1250</v>
      </c>
      <c r="D634" s="650" t="str">
        <f t="shared" si="184"/>
        <v>UVX-M17501250</v>
      </c>
      <c r="E634" s="1046">
        <f t="shared" si="183"/>
        <v>1503.8563128000001</v>
      </c>
      <c r="F634" s="631">
        <v>21</v>
      </c>
      <c r="G634" s="632">
        <f>F634*CCBASE!$B$51</f>
        <v>756</v>
      </c>
      <c r="H634" s="632">
        <f>CCBASE!$I$11*B634/1000</f>
        <v>281.73768385</v>
      </c>
      <c r="I634" s="632"/>
      <c r="J634" s="632"/>
      <c r="K634" s="632"/>
      <c r="L634" s="631"/>
      <c r="M634" s="632">
        <f>CCBASE!$I$15*B634/1000</f>
        <v>139.73029875</v>
      </c>
      <c r="N634" s="632">
        <f>CCBASE!$I$7*B634/1000</f>
        <v>55.198990000000002</v>
      </c>
      <c r="O634" s="632">
        <f>CCBASE!$I$45*B634/1000</f>
        <v>17.447500000000002</v>
      </c>
      <c r="P634" s="632">
        <f>CCBASE!$I$10</f>
        <v>30.661922000000001</v>
      </c>
      <c r="Q634" s="632">
        <f>CCBASE!$I$51</f>
        <v>2.9</v>
      </c>
      <c r="R634" s="632">
        <f>CCBASE!$I$4</f>
        <v>8.3986041999999994</v>
      </c>
      <c r="S634" s="632">
        <f>CCBASE!$I$8</f>
        <v>16.25526</v>
      </c>
      <c r="T634" s="631"/>
      <c r="U634" s="637">
        <f>CCBASE!$I$47</f>
        <v>14.41</v>
      </c>
      <c r="V634" s="632"/>
      <c r="W634" s="632">
        <f>CCBASE!$I$40*B634/1000</f>
        <v>72.289069999999995</v>
      </c>
      <c r="X634" s="632"/>
      <c r="Y634" s="632"/>
      <c r="Z634" s="632"/>
      <c r="AA634" s="632"/>
      <c r="AB634" s="632"/>
      <c r="AC634" s="632"/>
      <c r="AD634" s="651">
        <f>CCBASE!$I$32*2</f>
        <v>108.826984</v>
      </c>
      <c r="AI634" s="634"/>
      <c r="AJ634" s="634"/>
      <c r="AK634" s="635"/>
      <c r="AL634" s="635"/>
      <c r="AM634" s="635"/>
      <c r="AN634" s="635"/>
      <c r="AO634" s="635"/>
      <c r="AP634" s="635"/>
      <c r="AQ634" s="635"/>
      <c r="AR634" s="635"/>
      <c r="AS634" s="635"/>
    </row>
    <row r="635" spans="1:45" ht="17" thickBot="1" x14ac:dyDescent="0.25">
      <c r="A635" s="658" t="s">
        <v>763</v>
      </c>
      <c r="B635" s="630">
        <v>2000</v>
      </c>
      <c r="C635" s="630">
        <v>1250</v>
      </c>
      <c r="D635" s="650" t="str">
        <f t="shared" si="184"/>
        <v>UVX-M20001250</v>
      </c>
      <c r="E635" s="1046">
        <f t="shared" si="183"/>
        <v>1593.8203048999999</v>
      </c>
      <c r="F635" s="631">
        <v>21</v>
      </c>
      <c r="G635" s="632">
        <f>F635*CCBASE!$B$51</f>
        <v>756</v>
      </c>
      <c r="H635" s="632">
        <f>CCBASE!$I$11*B635/1000</f>
        <v>321.98592439999999</v>
      </c>
      <c r="I635" s="632"/>
      <c r="J635" s="632"/>
      <c r="K635" s="632"/>
      <c r="L635" s="631"/>
      <c r="M635" s="632">
        <f>CCBASE!$I$15*B635/1000</f>
        <v>159.69177000000002</v>
      </c>
      <c r="N635" s="632">
        <f>CCBASE!$I$7*B635/1000</f>
        <v>63.084560000000003</v>
      </c>
      <c r="O635" s="632">
        <f>CCBASE!$I$45*B635/1000</f>
        <v>19.940000000000001</v>
      </c>
      <c r="P635" s="632">
        <f>CCBASE!$I$9</f>
        <v>39.7111223</v>
      </c>
      <c r="Q635" s="632">
        <f>CCBASE!$I$51</f>
        <v>2.9</v>
      </c>
      <c r="R635" s="632">
        <f>CCBASE!$I$4</f>
        <v>8.3986041999999994</v>
      </c>
      <c r="S635" s="632">
        <f>CCBASE!$I$8</f>
        <v>16.25526</v>
      </c>
      <c r="T635" s="631"/>
      <c r="U635" s="637">
        <f>CCBASE!$I$47</f>
        <v>14.41</v>
      </c>
      <c r="V635" s="632"/>
      <c r="W635" s="632">
        <f>CCBASE!$I$40*B635/1000</f>
        <v>82.616079999999997</v>
      </c>
      <c r="X635" s="632"/>
      <c r="Y635" s="632"/>
      <c r="Z635" s="632"/>
      <c r="AA635" s="632"/>
      <c r="AB635" s="632"/>
      <c r="AC635" s="632"/>
      <c r="AD635" s="651">
        <f>CCBASE!$I$32*2</f>
        <v>108.826984</v>
      </c>
      <c r="AI635" s="634"/>
      <c r="AJ635" s="634"/>
      <c r="AN635" s="635"/>
      <c r="AO635" s="635"/>
      <c r="AP635" s="635"/>
      <c r="AQ635" s="635"/>
      <c r="AR635" s="635"/>
      <c r="AS635" s="635"/>
    </row>
    <row r="636" spans="1:45" ht="17" thickBot="1" x14ac:dyDescent="0.25">
      <c r="A636" s="658" t="s">
        <v>763</v>
      </c>
      <c r="B636" s="630">
        <v>2250</v>
      </c>
      <c r="C636" s="630">
        <v>1250</v>
      </c>
      <c r="D636" s="650" t="str">
        <f t="shared" si="184"/>
        <v>UVX-M22501250</v>
      </c>
      <c r="E636" s="1046">
        <f t="shared" si="183"/>
        <v>1725.1450966999996</v>
      </c>
      <c r="F636" s="631">
        <v>22</v>
      </c>
      <c r="G636" s="632">
        <f>F636*CCBASE!$B$51</f>
        <v>792</v>
      </c>
      <c r="H636" s="632">
        <f>CCBASE!$I$11*B636/1000</f>
        <v>362.23416494999998</v>
      </c>
      <c r="I636" s="632"/>
      <c r="J636" s="632"/>
      <c r="K636" s="632"/>
      <c r="L636" s="631"/>
      <c r="M636" s="632">
        <f>CCBASE!$I$15*B636/1000</f>
        <v>179.65324125000001</v>
      </c>
      <c r="N636" s="632">
        <f>CCBASE!$I$7*B636/1000</f>
        <v>70.970130000000012</v>
      </c>
      <c r="O636" s="632">
        <f>CCBASE!$I$45*B636/1000</f>
        <v>22.432500000000001</v>
      </c>
      <c r="P636" s="632">
        <f>CCBASE!$I$9</f>
        <v>39.7111223</v>
      </c>
      <c r="Q636" s="632">
        <f>CCBASE!$I$51</f>
        <v>2.9</v>
      </c>
      <c r="R636" s="632">
        <f>CCBASE!$I$4</f>
        <v>8.3986041999999994</v>
      </c>
      <c r="S636" s="632">
        <f>CCBASE!$I$8</f>
        <v>16.25526</v>
      </c>
      <c r="T636" s="631"/>
      <c r="U636" s="637">
        <f>CCBASE!$I$47*2</f>
        <v>28.82</v>
      </c>
      <c r="V636" s="632"/>
      <c r="W636" s="632">
        <f>CCBASE!$I$40*B636/1000</f>
        <v>92.943089999999998</v>
      </c>
      <c r="X636" s="632"/>
      <c r="Y636" s="632"/>
      <c r="Z636" s="632"/>
      <c r="AA636" s="632"/>
      <c r="AB636" s="632"/>
      <c r="AC636" s="632"/>
      <c r="AD636" s="651">
        <f>CCBASE!$I$32*2</f>
        <v>108.826984</v>
      </c>
      <c r="AI636" s="634"/>
      <c r="AJ636" s="634"/>
      <c r="AN636" s="635"/>
      <c r="AO636" s="635"/>
      <c r="AP636" s="635"/>
      <c r="AQ636" s="635"/>
      <c r="AR636" s="635"/>
      <c r="AS636" s="635"/>
    </row>
    <row r="637" spans="1:45" ht="17" thickBot="1" x14ac:dyDescent="0.25">
      <c r="A637" s="658" t="s">
        <v>763</v>
      </c>
      <c r="B637" s="630">
        <v>2500</v>
      </c>
      <c r="C637" s="630">
        <v>1250</v>
      </c>
      <c r="D637" s="650" t="str">
        <f t="shared" si="184"/>
        <v>UVX-M25001250</v>
      </c>
      <c r="E637" s="1046">
        <f t="shared" si="183"/>
        <v>1806.0598884999997</v>
      </c>
      <c r="F637" s="631">
        <v>22</v>
      </c>
      <c r="G637" s="632">
        <f>F637*CCBASE!$B$51</f>
        <v>792</v>
      </c>
      <c r="H637" s="632">
        <f>CCBASE!$I$11*B637/1000</f>
        <v>402.48240549999997</v>
      </c>
      <c r="I637" s="632"/>
      <c r="J637" s="632"/>
      <c r="K637" s="632"/>
      <c r="L637" s="631"/>
      <c r="M637" s="632">
        <f>CCBASE!$I$15*B637/1000</f>
        <v>199.61471250000002</v>
      </c>
      <c r="N637" s="632">
        <f>CCBASE!$I$7*B637/1000</f>
        <v>78.855699999999999</v>
      </c>
      <c r="O637" s="632">
        <f>CCBASE!$I$45*B637/1000</f>
        <v>24.925000000000001</v>
      </c>
      <c r="P637" s="632">
        <f>CCBASE!$I$9</f>
        <v>39.7111223</v>
      </c>
      <c r="Q637" s="632">
        <f>CCBASE!$I$51</f>
        <v>2.9</v>
      </c>
      <c r="R637" s="632">
        <f>CCBASE!$I$4</f>
        <v>8.3986041999999994</v>
      </c>
      <c r="S637" s="632">
        <f>CCBASE!$I$8</f>
        <v>16.25526</v>
      </c>
      <c r="T637" s="631"/>
      <c r="U637" s="637">
        <f>CCBASE!$I$47*2</f>
        <v>28.82</v>
      </c>
      <c r="V637" s="632"/>
      <c r="W637" s="632">
        <f>CCBASE!$I$40*B637/1000</f>
        <v>103.27009999999999</v>
      </c>
      <c r="X637" s="632"/>
      <c r="Y637" s="632"/>
      <c r="Z637" s="632"/>
      <c r="AA637" s="632"/>
      <c r="AB637" s="632"/>
      <c r="AC637" s="632"/>
      <c r="AD637" s="651">
        <f>CCBASE!$I$32*2</f>
        <v>108.826984</v>
      </c>
      <c r="AI637" s="634"/>
      <c r="AJ637" s="634"/>
      <c r="AN637" s="635"/>
      <c r="AO637" s="635"/>
      <c r="AP637" s="635"/>
      <c r="AQ637" s="635"/>
      <c r="AR637" s="635"/>
      <c r="AS637" s="635"/>
    </row>
    <row r="638" spans="1:45" ht="17" thickBot="1" x14ac:dyDescent="0.25">
      <c r="A638" s="658" t="s">
        <v>763</v>
      </c>
      <c r="B638" s="630">
        <v>2750</v>
      </c>
      <c r="C638" s="630">
        <v>1250</v>
      </c>
      <c r="D638" s="650" t="str">
        <f t="shared" si="184"/>
        <v>UVX-M27501250</v>
      </c>
      <c r="E638" s="1046">
        <f t="shared" si="183"/>
        <v>1922.9746802999996</v>
      </c>
      <c r="F638" s="631">
        <v>23</v>
      </c>
      <c r="G638" s="632">
        <f>F638*CCBASE!$B$51</f>
        <v>828</v>
      </c>
      <c r="H638" s="632">
        <f>CCBASE!$I$11*B638/1000</f>
        <v>442.73064604999996</v>
      </c>
      <c r="I638" s="632"/>
      <c r="J638" s="632"/>
      <c r="K638" s="632"/>
      <c r="L638" s="631"/>
      <c r="M638" s="632">
        <f>CCBASE!$I$15*B638/1000</f>
        <v>219.57618375000001</v>
      </c>
      <c r="N638" s="632">
        <f>CCBASE!$I$7*B638/1000</f>
        <v>86.74127</v>
      </c>
      <c r="O638" s="632">
        <f>CCBASE!$I$45*B638/1000</f>
        <v>27.4175</v>
      </c>
      <c r="P638" s="632">
        <f>CCBASE!$I$9</f>
        <v>39.7111223</v>
      </c>
      <c r="Q638" s="632">
        <f>CCBASE!$I$51</f>
        <v>2.9</v>
      </c>
      <c r="R638" s="632">
        <f>CCBASE!$I$4</f>
        <v>8.3986041999999994</v>
      </c>
      <c r="S638" s="632">
        <f>CCBASE!$I$8</f>
        <v>16.25526</v>
      </c>
      <c r="T638" s="631"/>
      <c r="U638" s="637">
        <f>CCBASE!$I$47*2</f>
        <v>28.82</v>
      </c>
      <c r="V638" s="632"/>
      <c r="W638" s="632">
        <f>CCBASE!$I$40*B638/1000</f>
        <v>113.59711</v>
      </c>
      <c r="X638" s="632"/>
      <c r="Y638" s="632"/>
      <c r="Z638" s="632"/>
      <c r="AA638" s="632"/>
      <c r="AB638" s="632"/>
      <c r="AC638" s="632"/>
      <c r="AD638" s="651">
        <f>CCBASE!$I$32*2</f>
        <v>108.826984</v>
      </c>
      <c r="AI638" s="634"/>
      <c r="AJ638" s="634"/>
      <c r="AN638" s="635"/>
      <c r="AO638" s="635"/>
      <c r="AP638" s="635"/>
      <c r="AQ638" s="635"/>
      <c r="AR638" s="635"/>
      <c r="AS638" s="635"/>
    </row>
    <row r="639" spans="1:45" ht="17" thickBot="1" x14ac:dyDescent="0.25">
      <c r="A639" s="658" t="s">
        <v>763</v>
      </c>
      <c r="B639" s="630">
        <v>3000</v>
      </c>
      <c r="C639" s="630">
        <v>1250</v>
      </c>
      <c r="D639" s="650" t="str">
        <f t="shared" si="184"/>
        <v>UVX-M30001250</v>
      </c>
      <c r="E639" s="1046">
        <f t="shared" si="183"/>
        <v>2003.8894720999997</v>
      </c>
      <c r="F639" s="631">
        <v>23</v>
      </c>
      <c r="G639" s="632">
        <f>F639*CCBASE!$B$51</f>
        <v>828</v>
      </c>
      <c r="H639" s="632">
        <f>CCBASE!$I$11*B639/1000</f>
        <v>482.97888659999995</v>
      </c>
      <c r="I639" s="632"/>
      <c r="J639" s="632"/>
      <c r="K639" s="632"/>
      <c r="L639" s="631"/>
      <c r="M639" s="632">
        <f>CCBASE!$I$15*B639/1000</f>
        <v>239.53765500000003</v>
      </c>
      <c r="N639" s="632">
        <f>CCBASE!$I$7*B639/1000</f>
        <v>94.626840000000016</v>
      </c>
      <c r="O639" s="632">
        <f>CCBASE!$I$45*B639/1000</f>
        <v>29.910000000000004</v>
      </c>
      <c r="P639" s="632">
        <f>CCBASE!$I$9</f>
        <v>39.7111223</v>
      </c>
      <c r="Q639" s="632">
        <f>CCBASE!$I$51</f>
        <v>2.9</v>
      </c>
      <c r="R639" s="632">
        <f>CCBASE!$I$4</f>
        <v>8.3986041999999994</v>
      </c>
      <c r="S639" s="632">
        <f>CCBASE!$I$8</f>
        <v>16.25526</v>
      </c>
      <c r="T639" s="631"/>
      <c r="U639" s="637">
        <f>CCBASE!$I$47*2</f>
        <v>28.82</v>
      </c>
      <c r="V639" s="632"/>
      <c r="W639" s="632">
        <f>CCBASE!$I$40*B639/1000</f>
        <v>123.92412</v>
      </c>
      <c r="X639" s="632"/>
      <c r="Y639" s="632"/>
      <c r="Z639" s="632"/>
      <c r="AA639" s="632"/>
      <c r="AB639" s="632"/>
      <c r="AC639" s="632"/>
      <c r="AD639" s="651">
        <f>CCBASE!$I$32*2</f>
        <v>108.826984</v>
      </c>
      <c r="AI639" s="634"/>
      <c r="AJ639" s="634"/>
      <c r="AN639" s="635"/>
      <c r="AO639" s="635"/>
      <c r="AP639" s="635"/>
      <c r="AQ639" s="635"/>
      <c r="AR639" s="635"/>
      <c r="AS639" s="635"/>
    </row>
    <row r="640" spans="1:45" ht="17" thickBot="1" x14ac:dyDescent="0.25">
      <c r="A640" s="658" t="s">
        <v>763</v>
      </c>
      <c r="B640" s="630">
        <v>1000</v>
      </c>
      <c r="C640" s="630">
        <v>1500</v>
      </c>
      <c r="D640" s="650" t="str">
        <f t="shared" si="184"/>
        <v>UVX-M10001500</v>
      </c>
      <c r="E640" s="1046">
        <f t="shared" si="183"/>
        <v>1306.0622134</v>
      </c>
      <c r="F640" s="646">
        <v>21</v>
      </c>
      <c r="G640" s="632">
        <f>F640*CCBASE!$B$51</f>
        <v>756</v>
      </c>
      <c r="H640" s="632">
        <f>CCBASE!$I$11*B640/1000</f>
        <v>160.99296219999999</v>
      </c>
      <c r="I640" s="632"/>
      <c r="J640" s="632"/>
      <c r="K640" s="632"/>
      <c r="L640" s="631"/>
      <c r="M640" s="632">
        <f>CCBASE!$I$15*B640/1000</f>
        <v>79.84588500000001</v>
      </c>
      <c r="N640" s="632">
        <f>CCBASE!$I$7*B640/1000</f>
        <v>31.542280000000002</v>
      </c>
      <c r="O640" s="632">
        <f>CCBASE!$I$45*B640/1000</f>
        <v>9.9700000000000006</v>
      </c>
      <c r="P640" s="632">
        <f>CCBASE!$I$10</f>
        <v>30.661922000000001</v>
      </c>
      <c r="Q640" s="632">
        <f>CCBASE!$I$51</f>
        <v>2.9</v>
      </c>
      <c r="R640" s="632">
        <f>CCBASE!$I$4</f>
        <v>8.3986041999999994</v>
      </c>
      <c r="S640" s="632">
        <f>CCBASE!$I$8</f>
        <v>16.25526</v>
      </c>
      <c r="T640" s="631"/>
      <c r="U640" s="637">
        <f>CCBASE!$I$47</f>
        <v>14.41</v>
      </c>
      <c r="V640" s="632"/>
      <c r="W640" s="632">
        <f>CCBASE!$I$41*B640/1000</f>
        <v>59.051569999999998</v>
      </c>
      <c r="X640" s="632"/>
      <c r="Y640" s="632"/>
      <c r="Z640" s="632"/>
      <c r="AA640" s="632"/>
      <c r="AB640" s="632"/>
      <c r="AC640" s="632"/>
      <c r="AD640" s="651">
        <f>CCBASE!$I$33*2</f>
        <v>136.03372999999999</v>
      </c>
      <c r="AI640" s="634"/>
      <c r="AJ640" s="634"/>
      <c r="AN640" s="635"/>
      <c r="AO640" s="635"/>
      <c r="AP640" s="635"/>
      <c r="AQ640" s="635"/>
      <c r="AR640" s="635"/>
      <c r="AS640" s="635"/>
    </row>
    <row r="641" spans="1:45" ht="17" thickBot="1" x14ac:dyDescent="0.25">
      <c r="A641" s="658" t="s">
        <v>763</v>
      </c>
      <c r="B641" s="630">
        <v>1250</v>
      </c>
      <c r="C641" s="630">
        <v>1500</v>
      </c>
      <c r="D641" s="650" t="str">
        <f t="shared" si="184"/>
        <v>UVX-M12501500</v>
      </c>
      <c r="E641" s="1046">
        <f t="shared" si="183"/>
        <v>1391.4128877000003</v>
      </c>
      <c r="F641" s="631">
        <v>21</v>
      </c>
      <c r="G641" s="632">
        <f>F641*CCBASE!$B$51</f>
        <v>756</v>
      </c>
      <c r="H641" s="632">
        <f>CCBASE!$I$11*B641/1000</f>
        <v>201.24120274999999</v>
      </c>
      <c r="I641" s="632"/>
      <c r="J641" s="632"/>
      <c r="K641" s="632"/>
      <c r="L641" s="631"/>
      <c r="M641" s="632">
        <f>CCBASE!$I$15*B641/1000</f>
        <v>99.807356250000012</v>
      </c>
      <c r="N641" s="632">
        <f>CCBASE!$I$7*B641/1000</f>
        <v>39.427849999999999</v>
      </c>
      <c r="O641" s="632">
        <f>CCBASE!$I$45*B641/1000</f>
        <v>12.4625</v>
      </c>
      <c r="P641" s="632">
        <f>CCBASE!$I$10</f>
        <v>30.661922000000001</v>
      </c>
      <c r="Q641" s="632">
        <f>CCBASE!$I$51</f>
        <v>2.9</v>
      </c>
      <c r="R641" s="632">
        <f>CCBASE!$I$4</f>
        <v>8.3986041999999994</v>
      </c>
      <c r="S641" s="632">
        <f>CCBASE!$I$8</f>
        <v>16.25526</v>
      </c>
      <c r="T641" s="631"/>
      <c r="U641" s="637">
        <f>CCBASE!$I$47</f>
        <v>14.41</v>
      </c>
      <c r="V641" s="632"/>
      <c r="W641" s="632">
        <f>CCBASE!$I$41*B641/1000</f>
        <v>73.814462499999991</v>
      </c>
      <c r="X641" s="632"/>
      <c r="Y641" s="632"/>
      <c r="Z641" s="632"/>
      <c r="AA641" s="632"/>
      <c r="AB641" s="632"/>
      <c r="AC641" s="632"/>
      <c r="AD641" s="651">
        <f>CCBASE!$I$33*2</f>
        <v>136.03372999999999</v>
      </c>
      <c r="AI641" s="634"/>
      <c r="AJ641" s="634"/>
      <c r="AK641" s="635"/>
      <c r="AL641" s="635"/>
      <c r="AM641" s="635"/>
      <c r="AN641" s="635"/>
      <c r="AO641" s="635"/>
      <c r="AP641" s="635"/>
      <c r="AQ641" s="635"/>
      <c r="AR641" s="635"/>
      <c r="AS641" s="635"/>
    </row>
    <row r="642" spans="1:45" ht="17" thickBot="1" x14ac:dyDescent="0.25">
      <c r="A642" s="658" t="s">
        <v>763</v>
      </c>
      <c r="B642" s="630">
        <v>1500</v>
      </c>
      <c r="C642" s="630">
        <v>1500</v>
      </c>
      <c r="D642" s="650" t="str">
        <f t="shared" si="184"/>
        <v>UVX-M15001500</v>
      </c>
      <c r="E642" s="1046">
        <f t="shared" si="183"/>
        <v>1476.7635619999996</v>
      </c>
      <c r="F642" s="631">
        <v>21</v>
      </c>
      <c r="G642" s="632">
        <f>F642*CCBASE!$B$51</f>
        <v>756</v>
      </c>
      <c r="H642" s="632">
        <f>CCBASE!$I$11*B642/1000</f>
        <v>241.48944329999998</v>
      </c>
      <c r="I642" s="632"/>
      <c r="J642" s="632"/>
      <c r="K642" s="632"/>
      <c r="L642" s="631"/>
      <c r="M642" s="632">
        <f>CCBASE!$I$15*B642/1000</f>
        <v>119.76882750000001</v>
      </c>
      <c r="N642" s="632">
        <f>CCBASE!$I$7*B642/1000</f>
        <v>47.313420000000008</v>
      </c>
      <c r="O642" s="632">
        <f>CCBASE!$I$45*B642/1000</f>
        <v>14.955000000000002</v>
      </c>
      <c r="P642" s="632">
        <f>CCBASE!$I$10</f>
        <v>30.661922000000001</v>
      </c>
      <c r="Q642" s="632">
        <f>CCBASE!$I$51</f>
        <v>2.9</v>
      </c>
      <c r="R642" s="632">
        <f>CCBASE!$I$4</f>
        <v>8.3986041999999994</v>
      </c>
      <c r="S642" s="632">
        <f>CCBASE!$I$8</f>
        <v>16.25526</v>
      </c>
      <c r="T642" s="631"/>
      <c r="U642" s="637">
        <f>CCBASE!$I$47</f>
        <v>14.41</v>
      </c>
      <c r="V642" s="632"/>
      <c r="W642" s="632">
        <f>CCBASE!$I$41*B642/1000</f>
        <v>88.577354999999997</v>
      </c>
      <c r="X642" s="632"/>
      <c r="Y642" s="632"/>
      <c r="Z642" s="632"/>
      <c r="AA642" s="632"/>
      <c r="AB642" s="632"/>
      <c r="AC642" s="632"/>
      <c r="AD642" s="651">
        <f>CCBASE!$I$33*2</f>
        <v>136.03372999999999</v>
      </c>
      <c r="AI642" s="634"/>
      <c r="AJ642" s="634"/>
      <c r="AK642" s="635"/>
      <c r="AL642" s="635"/>
      <c r="AM642" s="635"/>
      <c r="AN642" s="635"/>
      <c r="AO642" s="635"/>
      <c r="AP642" s="635"/>
      <c r="AQ642" s="635"/>
      <c r="AR642" s="635"/>
      <c r="AS642" s="635"/>
    </row>
    <row r="643" spans="1:45" ht="17" thickBot="1" x14ac:dyDescent="0.25">
      <c r="A643" s="658" t="s">
        <v>763</v>
      </c>
      <c r="B643" s="630">
        <v>1750</v>
      </c>
      <c r="C643" s="630">
        <v>1500</v>
      </c>
      <c r="D643" s="650" t="str">
        <f t="shared" si="184"/>
        <v>UVX-M17501500</v>
      </c>
      <c r="E643" s="1046">
        <f t="shared" si="183"/>
        <v>1562.1142362999999</v>
      </c>
      <c r="F643" s="631">
        <v>21</v>
      </c>
      <c r="G643" s="632">
        <f>F643*CCBASE!$B$51</f>
        <v>756</v>
      </c>
      <c r="H643" s="632">
        <f>CCBASE!$I$11*B643/1000</f>
        <v>281.73768385</v>
      </c>
      <c r="I643" s="632"/>
      <c r="J643" s="632"/>
      <c r="K643" s="632"/>
      <c r="L643" s="631"/>
      <c r="M643" s="632">
        <f>CCBASE!$I$15*B643/1000</f>
        <v>139.73029875</v>
      </c>
      <c r="N643" s="632">
        <f>CCBASE!$I$7*B643/1000</f>
        <v>55.198990000000002</v>
      </c>
      <c r="O643" s="632">
        <f>CCBASE!$I$45*B643/1000</f>
        <v>17.447500000000002</v>
      </c>
      <c r="P643" s="632">
        <f>CCBASE!$I$10</f>
        <v>30.661922000000001</v>
      </c>
      <c r="Q643" s="632">
        <f>CCBASE!$I$51</f>
        <v>2.9</v>
      </c>
      <c r="R643" s="632">
        <f>CCBASE!$I$4</f>
        <v>8.3986041999999994</v>
      </c>
      <c r="S643" s="632">
        <f>CCBASE!$I$8</f>
        <v>16.25526</v>
      </c>
      <c r="T643" s="631"/>
      <c r="U643" s="637">
        <f>CCBASE!$I$47</f>
        <v>14.41</v>
      </c>
      <c r="V643" s="632"/>
      <c r="W643" s="632">
        <f>CCBASE!$I$41*B643/1000</f>
        <v>103.3402475</v>
      </c>
      <c r="X643" s="632"/>
      <c r="Y643" s="632"/>
      <c r="Z643" s="632"/>
      <c r="AA643" s="632"/>
      <c r="AB643" s="632"/>
      <c r="AC643" s="632"/>
      <c r="AD643" s="651">
        <f>CCBASE!$I$33*2</f>
        <v>136.03372999999999</v>
      </c>
      <c r="AI643" s="634"/>
      <c r="AJ643" s="634"/>
      <c r="AK643" s="635"/>
      <c r="AL643" s="635"/>
      <c r="AM643" s="635"/>
      <c r="AN643" s="635"/>
      <c r="AO643" s="635"/>
      <c r="AP643" s="635"/>
      <c r="AQ643" s="635"/>
      <c r="AR643" s="635"/>
      <c r="AS643" s="635"/>
    </row>
    <row r="644" spans="1:45" ht="17" thickBot="1" x14ac:dyDescent="0.25">
      <c r="A644" s="658" t="s">
        <v>763</v>
      </c>
      <c r="B644" s="630">
        <v>2000</v>
      </c>
      <c r="C644" s="630">
        <v>1500</v>
      </c>
      <c r="D644" s="650" t="str">
        <f t="shared" si="184"/>
        <v>UVX-M20001500</v>
      </c>
      <c r="E644" s="1046">
        <f t="shared" si="183"/>
        <v>1656.5141108999997</v>
      </c>
      <c r="F644" s="631">
        <v>21</v>
      </c>
      <c r="G644" s="632">
        <f>F644*CCBASE!$B$51</f>
        <v>756</v>
      </c>
      <c r="H644" s="632">
        <f>CCBASE!$I$11*B644/1000</f>
        <v>321.98592439999999</v>
      </c>
      <c r="I644" s="632"/>
      <c r="J644" s="632"/>
      <c r="K644" s="632"/>
      <c r="L644" s="631"/>
      <c r="M644" s="632">
        <f>CCBASE!$I$15*B644/1000</f>
        <v>159.69177000000002</v>
      </c>
      <c r="N644" s="632">
        <f>CCBASE!$I$7*B644/1000</f>
        <v>63.084560000000003</v>
      </c>
      <c r="O644" s="632">
        <f>CCBASE!$I$45*B644/1000</f>
        <v>19.940000000000001</v>
      </c>
      <c r="P644" s="632">
        <f>CCBASE!$I$9</f>
        <v>39.7111223</v>
      </c>
      <c r="Q644" s="632">
        <f>CCBASE!$I$51</f>
        <v>2.9</v>
      </c>
      <c r="R644" s="632">
        <f>CCBASE!$I$4</f>
        <v>8.3986041999999994</v>
      </c>
      <c r="S644" s="632">
        <f>CCBASE!$I$8</f>
        <v>16.25526</v>
      </c>
      <c r="T644" s="631"/>
      <c r="U644" s="637">
        <f>CCBASE!$I$47</f>
        <v>14.41</v>
      </c>
      <c r="V644" s="632"/>
      <c r="W644" s="632">
        <f>CCBASE!$I$41*B644/1000</f>
        <v>118.10314</v>
      </c>
      <c r="X644" s="632"/>
      <c r="Y644" s="632"/>
      <c r="Z644" s="632"/>
      <c r="AA644" s="632"/>
      <c r="AB644" s="632"/>
      <c r="AC644" s="632"/>
      <c r="AD644" s="651">
        <f>CCBASE!$I$33*2</f>
        <v>136.03372999999999</v>
      </c>
      <c r="AI644" s="634"/>
      <c r="AJ644" s="634"/>
      <c r="AK644" s="635"/>
      <c r="AL644" s="635"/>
      <c r="AM644" s="635"/>
      <c r="AN644" s="635"/>
      <c r="AO644" s="635"/>
      <c r="AP644" s="635"/>
      <c r="AQ644" s="635"/>
      <c r="AR644" s="635"/>
      <c r="AS644" s="635"/>
    </row>
    <row r="645" spans="1:45" ht="17" thickBot="1" x14ac:dyDescent="0.25">
      <c r="A645" s="658" t="s">
        <v>763</v>
      </c>
      <c r="B645" s="630">
        <v>2250</v>
      </c>
      <c r="C645" s="630">
        <v>1500</v>
      </c>
      <c r="D645" s="650" t="str">
        <f t="shared" si="184"/>
        <v>UVX-M22501500</v>
      </c>
      <c r="E645" s="1046">
        <f t="shared" si="183"/>
        <v>1792.2747851999998</v>
      </c>
      <c r="F645" s="631">
        <v>22</v>
      </c>
      <c r="G645" s="632">
        <f>F645*CCBASE!$B$51</f>
        <v>792</v>
      </c>
      <c r="H645" s="632">
        <f>CCBASE!$I$11*B645/1000</f>
        <v>362.23416494999998</v>
      </c>
      <c r="I645" s="632"/>
      <c r="J645" s="632"/>
      <c r="K645" s="632"/>
      <c r="L645" s="631"/>
      <c r="M645" s="632">
        <f>CCBASE!$I$15*B645/1000</f>
        <v>179.65324125000001</v>
      </c>
      <c r="N645" s="632">
        <f>CCBASE!$I$7*B645/1000</f>
        <v>70.970130000000012</v>
      </c>
      <c r="O645" s="632">
        <f>CCBASE!$I$45*B645/1000</f>
        <v>22.432500000000001</v>
      </c>
      <c r="P645" s="632">
        <f>CCBASE!$I$9</f>
        <v>39.7111223</v>
      </c>
      <c r="Q645" s="632">
        <f>CCBASE!$I$51</f>
        <v>2.9</v>
      </c>
      <c r="R645" s="632">
        <f>CCBASE!$I$4</f>
        <v>8.3986041999999994</v>
      </c>
      <c r="S645" s="632">
        <f>CCBASE!$I$8</f>
        <v>16.25526</v>
      </c>
      <c r="T645" s="631"/>
      <c r="U645" s="637">
        <f>CCBASE!$I$47*2</f>
        <v>28.82</v>
      </c>
      <c r="V645" s="632"/>
      <c r="W645" s="632">
        <f>CCBASE!$I$41*B645/1000</f>
        <v>132.86603249999999</v>
      </c>
      <c r="X645" s="632"/>
      <c r="Y645" s="632"/>
      <c r="Z645" s="632"/>
      <c r="AA645" s="632"/>
      <c r="AB645" s="632"/>
      <c r="AC645" s="632"/>
      <c r="AD645" s="651">
        <f>CCBASE!$I$33*2</f>
        <v>136.03372999999999</v>
      </c>
      <c r="AI645" s="634"/>
      <c r="AJ645" s="634"/>
      <c r="AK645" s="635"/>
      <c r="AL645" s="635"/>
      <c r="AM645" s="635"/>
      <c r="AN645" s="635"/>
      <c r="AO645" s="635"/>
      <c r="AP645" s="635"/>
      <c r="AQ645" s="635"/>
      <c r="AR645" s="635"/>
      <c r="AS645" s="635"/>
    </row>
    <row r="646" spans="1:45" ht="17" thickBot="1" x14ac:dyDescent="0.25">
      <c r="A646" s="658" t="s">
        <v>763</v>
      </c>
      <c r="B646" s="630">
        <v>2500</v>
      </c>
      <c r="C646" s="630">
        <v>1500</v>
      </c>
      <c r="D646" s="650" t="str">
        <f t="shared" si="184"/>
        <v>UVX-M25001500</v>
      </c>
      <c r="E646" s="1046">
        <f t="shared" si="183"/>
        <v>1877.6254594999996</v>
      </c>
      <c r="F646" s="631">
        <v>22</v>
      </c>
      <c r="G646" s="632">
        <f>F646*CCBASE!$B$51</f>
        <v>792</v>
      </c>
      <c r="H646" s="632">
        <f>CCBASE!$I$11*B646/1000</f>
        <v>402.48240549999997</v>
      </c>
      <c r="I646" s="632"/>
      <c r="J646" s="632"/>
      <c r="K646" s="632"/>
      <c r="L646" s="631"/>
      <c r="M646" s="632">
        <f>CCBASE!$I$15*B646/1000</f>
        <v>199.61471250000002</v>
      </c>
      <c r="N646" s="632">
        <f>CCBASE!$I$7*B646/1000</f>
        <v>78.855699999999999</v>
      </c>
      <c r="O646" s="632">
        <f>CCBASE!$I$45*B646/1000</f>
        <v>24.925000000000001</v>
      </c>
      <c r="P646" s="632">
        <f>CCBASE!$I$9</f>
        <v>39.7111223</v>
      </c>
      <c r="Q646" s="632">
        <f>CCBASE!$I$51</f>
        <v>2.9</v>
      </c>
      <c r="R646" s="632">
        <f>CCBASE!$I$4</f>
        <v>8.3986041999999994</v>
      </c>
      <c r="S646" s="632">
        <f>CCBASE!$I$8</f>
        <v>16.25526</v>
      </c>
      <c r="T646" s="631"/>
      <c r="U646" s="637">
        <f>CCBASE!$I$47*2</f>
        <v>28.82</v>
      </c>
      <c r="V646" s="632"/>
      <c r="W646" s="632">
        <f>CCBASE!$I$41*B646/1000</f>
        <v>147.62892499999998</v>
      </c>
      <c r="X646" s="632"/>
      <c r="Y646" s="632"/>
      <c r="Z646" s="632"/>
      <c r="AA646" s="632"/>
      <c r="AB646" s="632"/>
      <c r="AC646" s="632"/>
      <c r="AD646" s="651">
        <f>CCBASE!$I$33*2</f>
        <v>136.03372999999999</v>
      </c>
      <c r="AI646" s="634"/>
      <c r="AJ646" s="634"/>
      <c r="AK646" s="635"/>
      <c r="AL646" s="635"/>
      <c r="AM646" s="635"/>
      <c r="AN646" s="635"/>
      <c r="AO646" s="635"/>
      <c r="AP646" s="635"/>
      <c r="AQ646" s="635"/>
      <c r="AR646" s="635"/>
      <c r="AS646" s="635"/>
    </row>
    <row r="647" spans="1:45" ht="17" thickBot="1" x14ac:dyDescent="0.25">
      <c r="A647" s="658" t="s">
        <v>763</v>
      </c>
      <c r="B647" s="630">
        <v>2750</v>
      </c>
      <c r="C647" s="630">
        <v>1500</v>
      </c>
      <c r="D647" s="650" t="str">
        <f t="shared" si="184"/>
        <v>UVX-M27501500</v>
      </c>
      <c r="E647" s="1046">
        <f t="shared" si="183"/>
        <v>1998.9761337999998</v>
      </c>
      <c r="F647" s="631">
        <v>23</v>
      </c>
      <c r="G647" s="632">
        <f>F647*CCBASE!$B$51</f>
        <v>828</v>
      </c>
      <c r="H647" s="632">
        <f>CCBASE!$I$11*B647/1000</f>
        <v>442.73064604999996</v>
      </c>
      <c r="I647" s="632"/>
      <c r="J647" s="632"/>
      <c r="K647" s="632"/>
      <c r="L647" s="631"/>
      <c r="M647" s="632">
        <f>CCBASE!$I$15*B647/1000</f>
        <v>219.57618375000001</v>
      </c>
      <c r="N647" s="632">
        <f>CCBASE!$I$7*B647/1000</f>
        <v>86.74127</v>
      </c>
      <c r="O647" s="632">
        <f>CCBASE!$I$45*B647/1000</f>
        <v>27.4175</v>
      </c>
      <c r="P647" s="632">
        <f>CCBASE!$I$9</f>
        <v>39.7111223</v>
      </c>
      <c r="Q647" s="632">
        <f>CCBASE!$I$51</f>
        <v>2.9</v>
      </c>
      <c r="R647" s="632">
        <f>CCBASE!$I$4</f>
        <v>8.3986041999999994</v>
      </c>
      <c r="S647" s="632">
        <f>CCBASE!$I$8</f>
        <v>16.25526</v>
      </c>
      <c r="T647" s="631"/>
      <c r="U647" s="637">
        <f>CCBASE!$I$47*2</f>
        <v>28.82</v>
      </c>
      <c r="V647" s="632"/>
      <c r="W647" s="632">
        <f>CCBASE!$I$41*B647/1000</f>
        <v>162.3918175</v>
      </c>
      <c r="X647" s="632"/>
      <c r="Y647" s="632"/>
      <c r="Z647" s="632"/>
      <c r="AA647" s="632"/>
      <c r="AB647" s="632"/>
      <c r="AC647" s="632"/>
      <c r="AD647" s="651">
        <f>CCBASE!$I$33*2</f>
        <v>136.03372999999999</v>
      </c>
      <c r="AI647" s="634"/>
      <c r="AJ647" s="634"/>
      <c r="AN647" s="635"/>
      <c r="AO647" s="635"/>
      <c r="AP647" s="635"/>
      <c r="AQ647" s="635"/>
      <c r="AR647" s="635"/>
      <c r="AS647" s="635"/>
    </row>
    <row r="648" spans="1:45" ht="17" thickBot="1" x14ac:dyDescent="0.25">
      <c r="A648" s="658" t="s">
        <v>763</v>
      </c>
      <c r="B648" s="630">
        <v>3000</v>
      </c>
      <c r="C648" s="630">
        <v>1500</v>
      </c>
      <c r="D648" s="650" t="str">
        <f t="shared" si="184"/>
        <v>UVX-M30001500</v>
      </c>
      <c r="E648" s="1046">
        <f t="shared" si="183"/>
        <v>2084.3268080999997</v>
      </c>
      <c r="F648" s="631">
        <v>23</v>
      </c>
      <c r="G648" s="632">
        <f>F648*CCBASE!$B$51</f>
        <v>828</v>
      </c>
      <c r="H648" s="632">
        <f>CCBASE!$I$11*B648/1000</f>
        <v>482.97888659999995</v>
      </c>
      <c r="I648" s="632"/>
      <c r="J648" s="632"/>
      <c r="K648" s="632"/>
      <c r="L648" s="631"/>
      <c r="M648" s="632">
        <f>CCBASE!$I$15*B648/1000</f>
        <v>239.53765500000003</v>
      </c>
      <c r="N648" s="632">
        <f>CCBASE!$I$7*B648/1000</f>
        <v>94.626840000000016</v>
      </c>
      <c r="O648" s="632">
        <f>CCBASE!$I$45*B648/1000</f>
        <v>29.910000000000004</v>
      </c>
      <c r="P648" s="632">
        <f>CCBASE!$I$9</f>
        <v>39.7111223</v>
      </c>
      <c r="Q648" s="632">
        <f>CCBASE!$I$51</f>
        <v>2.9</v>
      </c>
      <c r="R648" s="632">
        <f>CCBASE!$I$4</f>
        <v>8.3986041999999994</v>
      </c>
      <c r="S648" s="632">
        <f>CCBASE!$I$8</f>
        <v>16.25526</v>
      </c>
      <c r="T648" s="631"/>
      <c r="U648" s="637">
        <f>CCBASE!$I$47*2</f>
        <v>28.82</v>
      </c>
      <c r="V648" s="632"/>
      <c r="W648" s="632">
        <f>CCBASE!$I$41*B648/1000</f>
        <v>177.15470999999999</v>
      </c>
      <c r="X648" s="632"/>
      <c r="Y648" s="632"/>
      <c r="Z648" s="632"/>
      <c r="AA648" s="632"/>
      <c r="AB648" s="632"/>
      <c r="AC648" s="632"/>
      <c r="AD648" s="651">
        <f>CCBASE!$I$33*2</f>
        <v>136.03372999999999</v>
      </c>
      <c r="AI648" s="634"/>
      <c r="AJ648" s="634"/>
      <c r="AN648" s="635"/>
      <c r="AO648" s="635"/>
      <c r="AP648" s="635"/>
      <c r="AQ648" s="635"/>
      <c r="AR648" s="635"/>
      <c r="AS648" s="635"/>
    </row>
    <row r="649" spans="1:45" ht="17" thickBot="1" x14ac:dyDescent="0.25">
      <c r="A649" s="658" t="s">
        <v>763</v>
      </c>
      <c r="B649" s="630">
        <v>1000</v>
      </c>
      <c r="C649" s="630">
        <v>1750</v>
      </c>
      <c r="D649" s="650" t="str">
        <f t="shared" si="184"/>
        <v>UVX-M10001750</v>
      </c>
      <c r="E649" s="1046">
        <f t="shared" si="183"/>
        <v>1391.2311573999998</v>
      </c>
      <c r="F649" s="646">
        <v>21</v>
      </c>
      <c r="G649" s="632">
        <f>F649*CCBASE!$B$51</f>
        <v>756</v>
      </c>
      <c r="H649" s="632">
        <f>CCBASE!$I$11*B649/1000</f>
        <v>160.99296219999999</v>
      </c>
      <c r="I649" s="632"/>
      <c r="J649" s="632"/>
      <c r="K649" s="632"/>
      <c r="L649" s="637"/>
      <c r="M649" s="632">
        <f>CCBASE!$I$15*B649/1000</f>
        <v>79.84588500000001</v>
      </c>
      <c r="N649" s="632">
        <f>CCBASE!$I$7*B649/1000</f>
        <v>31.542280000000002</v>
      </c>
      <c r="O649" s="632">
        <f>CCBASE!$I$45*B649/1000</f>
        <v>9.9700000000000006</v>
      </c>
      <c r="P649" s="632">
        <f>CCBASE!$I$10</f>
        <v>30.661922000000001</v>
      </c>
      <c r="Q649" s="632">
        <f>CCBASE!$I$51</f>
        <v>2.9</v>
      </c>
      <c r="R649" s="632">
        <f>CCBASE!$I$4</f>
        <v>8.3986041999999994</v>
      </c>
      <c r="S649" s="632">
        <f>CCBASE!$I$8</f>
        <v>16.25526</v>
      </c>
      <c r="T649" s="631"/>
      <c r="U649" s="637">
        <f>CCBASE!$I$47</f>
        <v>14.41</v>
      </c>
      <c r="V649" s="631"/>
      <c r="W649" s="632">
        <f>CCBASE!$I$42*B649/1000</f>
        <v>70.880589999999998</v>
      </c>
      <c r="X649" s="632"/>
      <c r="Y649" s="632"/>
      <c r="Z649" s="632"/>
      <c r="AA649" s="632"/>
      <c r="AB649" s="632"/>
      <c r="AC649" s="632"/>
      <c r="AD649" s="651">
        <f>CCBASE!$I$34*2</f>
        <v>209.37365399999999</v>
      </c>
      <c r="AI649" s="634"/>
      <c r="AJ649" s="634"/>
      <c r="AK649" s="635"/>
      <c r="AL649" s="635"/>
      <c r="AM649" s="635"/>
      <c r="AN649" s="635"/>
      <c r="AO649" s="635"/>
      <c r="AP649" s="635"/>
      <c r="AQ649" s="635"/>
      <c r="AR649" s="635"/>
      <c r="AS649" s="635"/>
    </row>
    <row r="650" spans="1:45" ht="17" thickBot="1" x14ac:dyDescent="0.25">
      <c r="A650" s="658" t="s">
        <v>763</v>
      </c>
      <c r="B650" s="630">
        <v>1250</v>
      </c>
      <c r="C650" s="630">
        <v>1750</v>
      </c>
      <c r="D650" s="650" t="str">
        <f t="shared" si="184"/>
        <v>UVX-M12501750</v>
      </c>
      <c r="E650" s="1046">
        <f t="shared" si="183"/>
        <v>1479.5390867000001</v>
      </c>
      <c r="F650" s="631">
        <v>21</v>
      </c>
      <c r="G650" s="632">
        <f>F650*CCBASE!$B$51</f>
        <v>756</v>
      </c>
      <c r="H650" s="632">
        <f>CCBASE!$I$11*B650/1000</f>
        <v>201.24120274999999</v>
      </c>
      <c r="I650" s="632"/>
      <c r="J650" s="632"/>
      <c r="K650" s="632"/>
      <c r="L650" s="637"/>
      <c r="M650" s="632">
        <f>CCBASE!$I$15*B650/1000</f>
        <v>99.807356250000012</v>
      </c>
      <c r="N650" s="632">
        <f>CCBASE!$I$7*B650/1000</f>
        <v>39.427849999999999</v>
      </c>
      <c r="O650" s="632">
        <f>CCBASE!$I$45*B650/1000</f>
        <v>12.4625</v>
      </c>
      <c r="P650" s="632">
        <f>CCBASE!$I$10</f>
        <v>30.661922000000001</v>
      </c>
      <c r="Q650" s="632">
        <f>CCBASE!$I$51</f>
        <v>2.9</v>
      </c>
      <c r="R650" s="632">
        <f>CCBASE!$I$4</f>
        <v>8.3986041999999994</v>
      </c>
      <c r="S650" s="632">
        <f>CCBASE!$I$8</f>
        <v>16.25526</v>
      </c>
      <c r="T650" s="631"/>
      <c r="U650" s="637">
        <f>CCBASE!$I$47</f>
        <v>14.41</v>
      </c>
      <c r="V650" s="631"/>
      <c r="W650" s="632">
        <f>CCBASE!$I$42*B650/1000</f>
        <v>88.600737500000008</v>
      </c>
      <c r="X650" s="632"/>
      <c r="Y650" s="632"/>
      <c r="Z650" s="632"/>
      <c r="AA650" s="632"/>
      <c r="AB650" s="632"/>
      <c r="AC650" s="632"/>
      <c r="AD650" s="651">
        <f>CCBASE!$I$34*2</f>
        <v>209.37365399999999</v>
      </c>
      <c r="AI650" s="634"/>
      <c r="AJ650" s="634"/>
      <c r="AK650" s="635"/>
      <c r="AL650" s="635"/>
      <c r="AM650" s="635"/>
      <c r="AN650" s="635"/>
      <c r="AO650" s="635"/>
      <c r="AP650" s="635"/>
      <c r="AQ650" s="635"/>
      <c r="AR650" s="635"/>
      <c r="AS650" s="635"/>
    </row>
    <row r="651" spans="1:45" ht="17" thickBot="1" x14ac:dyDescent="0.25">
      <c r="A651" s="658" t="s">
        <v>763</v>
      </c>
      <c r="B651" s="630">
        <v>1500</v>
      </c>
      <c r="C651" s="630">
        <v>1750</v>
      </c>
      <c r="D651" s="650" t="str">
        <f t="shared" si="184"/>
        <v>UVX-M15001750</v>
      </c>
      <c r="E651" s="1046">
        <f t="shared" si="183"/>
        <v>1567.8470159999999</v>
      </c>
      <c r="F651" s="631">
        <v>21</v>
      </c>
      <c r="G651" s="632">
        <f>F651*CCBASE!$B$51</f>
        <v>756</v>
      </c>
      <c r="H651" s="632">
        <f>CCBASE!$I$11*B651/1000</f>
        <v>241.48944329999998</v>
      </c>
      <c r="I651" s="632"/>
      <c r="J651" s="632"/>
      <c r="K651" s="632"/>
      <c r="L651" s="637"/>
      <c r="M651" s="632">
        <f>CCBASE!$I$15*B651/1000</f>
        <v>119.76882750000001</v>
      </c>
      <c r="N651" s="632">
        <f>CCBASE!$I$7*B651/1000</f>
        <v>47.313420000000008</v>
      </c>
      <c r="O651" s="632">
        <f>CCBASE!$I$45*B651/1000</f>
        <v>14.955000000000002</v>
      </c>
      <c r="P651" s="632">
        <f>CCBASE!$I$10</f>
        <v>30.661922000000001</v>
      </c>
      <c r="Q651" s="632">
        <f>CCBASE!$I$51</f>
        <v>2.9</v>
      </c>
      <c r="R651" s="632">
        <f>CCBASE!$I$4</f>
        <v>8.3986041999999994</v>
      </c>
      <c r="S651" s="632">
        <f>CCBASE!$I$8</f>
        <v>16.25526</v>
      </c>
      <c r="T651" s="631"/>
      <c r="U651" s="637">
        <f>CCBASE!$I$47</f>
        <v>14.41</v>
      </c>
      <c r="V651" s="631"/>
      <c r="W651" s="632">
        <f>CCBASE!$I$42*B651/1000</f>
        <v>106.32088499999999</v>
      </c>
      <c r="X651" s="632"/>
      <c r="Y651" s="632"/>
      <c r="Z651" s="632"/>
      <c r="AA651" s="632"/>
      <c r="AB651" s="632"/>
      <c r="AC651" s="632"/>
      <c r="AD651" s="651">
        <f>CCBASE!$I$34*2</f>
        <v>209.37365399999999</v>
      </c>
      <c r="AI651" s="634"/>
      <c r="AJ651" s="634"/>
      <c r="AK651" s="635"/>
      <c r="AL651" s="635"/>
      <c r="AM651" s="635"/>
      <c r="AN651" s="635"/>
      <c r="AO651" s="635"/>
      <c r="AP651" s="635"/>
      <c r="AQ651" s="635"/>
      <c r="AR651" s="635"/>
      <c r="AS651" s="635"/>
    </row>
    <row r="652" spans="1:45" ht="17" thickBot="1" x14ac:dyDescent="0.25">
      <c r="A652" s="658" t="s">
        <v>763</v>
      </c>
      <c r="B652" s="630">
        <v>1750</v>
      </c>
      <c r="C652" s="630">
        <v>1750</v>
      </c>
      <c r="D652" s="650" t="str">
        <f t="shared" si="184"/>
        <v>UVX-M17501750</v>
      </c>
      <c r="E652" s="1046">
        <f t="shared" si="183"/>
        <v>1665.2041455999999</v>
      </c>
      <c r="F652" s="631">
        <v>21</v>
      </c>
      <c r="G652" s="632">
        <f>F652*CCBASE!$B$51</f>
        <v>756</v>
      </c>
      <c r="H652" s="632">
        <f>CCBASE!$I$11*B652/1000</f>
        <v>281.73768385</v>
      </c>
      <c r="I652" s="632"/>
      <c r="J652" s="632"/>
      <c r="K652" s="632"/>
      <c r="L652" s="637"/>
      <c r="M652" s="632">
        <f>CCBASE!$I$15*B652/1000</f>
        <v>139.73029875</v>
      </c>
      <c r="N652" s="632">
        <f>CCBASE!$I$7*B652/1000</f>
        <v>55.198990000000002</v>
      </c>
      <c r="O652" s="632">
        <f>CCBASE!$I$45*B652/1000</f>
        <v>17.447500000000002</v>
      </c>
      <c r="P652" s="632">
        <f>CCBASE!$I$9</f>
        <v>39.7111223</v>
      </c>
      <c r="Q652" s="632">
        <f>CCBASE!$I$51</f>
        <v>2.9</v>
      </c>
      <c r="R652" s="632">
        <f>CCBASE!$I$4</f>
        <v>8.3986041999999994</v>
      </c>
      <c r="S652" s="632">
        <f>CCBASE!$I$8</f>
        <v>16.25526</v>
      </c>
      <c r="T652" s="631"/>
      <c r="U652" s="637">
        <f>CCBASE!$I$47</f>
        <v>14.41</v>
      </c>
      <c r="V652" s="631"/>
      <c r="W652" s="632">
        <f>CCBASE!$I$42*B652/1000</f>
        <v>124.0410325</v>
      </c>
      <c r="X652" s="632"/>
      <c r="Y652" s="632"/>
      <c r="Z652" s="632"/>
      <c r="AA652" s="632"/>
      <c r="AB652" s="632"/>
      <c r="AC652" s="632"/>
      <c r="AD652" s="651">
        <f>CCBASE!$I$34*2</f>
        <v>209.37365399999999</v>
      </c>
      <c r="AI652" s="634"/>
      <c r="AJ652" s="634"/>
    </row>
    <row r="653" spans="1:45" ht="17" thickBot="1" x14ac:dyDescent="0.25">
      <c r="A653" s="658" t="s">
        <v>763</v>
      </c>
      <c r="B653" s="630">
        <v>2000</v>
      </c>
      <c r="C653" s="630">
        <v>1750</v>
      </c>
      <c r="D653" s="650" t="str">
        <f t="shared" si="184"/>
        <v>UVX-M20001750</v>
      </c>
      <c r="E653" s="1046">
        <f t="shared" si="183"/>
        <v>1753.5120748999998</v>
      </c>
      <c r="F653" s="631">
        <v>21</v>
      </c>
      <c r="G653" s="632">
        <f>F653*CCBASE!$B$51</f>
        <v>756</v>
      </c>
      <c r="H653" s="632">
        <f>CCBASE!$I$11*B653/1000</f>
        <v>321.98592439999999</v>
      </c>
      <c r="I653" s="632"/>
      <c r="J653" s="632"/>
      <c r="K653" s="632"/>
      <c r="L653" s="637"/>
      <c r="M653" s="632">
        <f>CCBASE!$I$15*B653/1000</f>
        <v>159.69177000000002</v>
      </c>
      <c r="N653" s="632">
        <f>CCBASE!$I$7*B653/1000</f>
        <v>63.084560000000003</v>
      </c>
      <c r="O653" s="632">
        <f>CCBASE!$I$45*B653/1000</f>
        <v>19.940000000000001</v>
      </c>
      <c r="P653" s="632">
        <f>CCBASE!$I$9</f>
        <v>39.7111223</v>
      </c>
      <c r="Q653" s="632">
        <f>CCBASE!$I$51</f>
        <v>2.9</v>
      </c>
      <c r="R653" s="632">
        <f>CCBASE!$I$4</f>
        <v>8.3986041999999994</v>
      </c>
      <c r="S653" s="632">
        <f>CCBASE!$I$8</f>
        <v>16.25526</v>
      </c>
      <c r="T653" s="631"/>
      <c r="U653" s="637">
        <f>CCBASE!$I$47</f>
        <v>14.41</v>
      </c>
      <c r="V653" s="631"/>
      <c r="W653" s="632">
        <f>CCBASE!$I$42*B653/1000</f>
        <v>141.76118</v>
      </c>
      <c r="X653" s="632"/>
      <c r="Y653" s="632"/>
      <c r="Z653" s="632"/>
      <c r="AA653" s="632"/>
      <c r="AB653" s="632"/>
      <c r="AC653" s="632"/>
      <c r="AD653" s="651">
        <f>CCBASE!$I$34*2</f>
        <v>209.37365399999999</v>
      </c>
      <c r="AI653" s="634"/>
      <c r="AJ653" s="634"/>
    </row>
    <row r="654" spans="1:45" ht="17" thickBot="1" x14ac:dyDescent="0.25">
      <c r="A654" s="658" t="s">
        <v>763</v>
      </c>
      <c r="B654" s="630">
        <v>2250</v>
      </c>
      <c r="C654" s="630">
        <v>1750</v>
      </c>
      <c r="D654" s="650" t="str">
        <f t="shared" si="184"/>
        <v>UVX-M22501750</v>
      </c>
      <c r="E654" s="1046">
        <f t="shared" si="183"/>
        <v>1892.2300041999995</v>
      </c>
      <c r="F654" s="631">
        <v>22</v>
      </c>
      <c r="G654" s="632">
        <f>F654*CCBASE!$B$51</f>
        <v>792</v>
      </c>
      <c r="H654" s="632">
        <f>CCBASE!$I$11*B654/1000</f>
        <v>362.23416494999998</v>
      </c>
      <c r="I654" s="632"/>
      <c r="J654" s="632"/>
      <c r="K654" s="632"/>
      <c r="L654" s="637"/>
      <c r="M654" s="632">
        <f>CCBASE!$I$15*B654/1000</f>
        <v>179.65324125000001</v>
      </c>
      <c r="N654" s="632">
        <f>CCBASE!$I$7*B654/1000</f>
        <v>70.970130000000012</v>
      </c>
      <c r="O654" s="632">
        <f>CCBASE!$I$45*B654/1000</f>
        <v>22.432500000000001</v>
      </c>
      <c r="P654" s="632">
        <f>CCBASE!$I$9</f>
        <v>39.7111223</v>
      </c>
      <c r="Q654" s="632">
        <f>CCBASE!$I$51</f>
        <v>2.9</v>
      </c>
      <c r="R654" s="632">
        <f>CCBASE!$I$4</f>
        <v>8.3986041999999994</v>
      </c>
      <c r="S654" s="632">
        <f>CCBASE!$I$8</f>
        <v>16.25526</v>
      </c>
      <c r="T654" s="631"/>
      <c r="U654" s="637">
        <f>CCBASE!$I$47*2</f>
        <v>28.82</v>
      </c>
      <c r="V654" s="631"/>
      <c r="W654" s="632">
        <f>CCBASE!$I$42*B654/1000</f>
        <v>159.48132749999999</v>
      </c>
      <c r="X654" s="632"/>
      <c r="Y654" s="632"/>
      <c r="Z654" s="632"/>
      <c r="AA654" s="632"/>
      <c r="AB654" s="632"/>
      <c r="AC654" s="632"/>
      <c r="AD654" s="651">
        <f>CCBASE!$I$34*2</f>
        <v>209.37365399999999</v>
      </c>
      <c r="AI654" s="634"/>
      <c r="AJ654" s="634"/>
      <c r="AR654" s="635"/>
      <c r="AS654" s="635"/>
    </row>
    <row r="655" spans="1:45" ht="17" thickBot="1" x14ac:dyDescent="0.25">
      <c r="A655" s="658" t="s">
        <v>763</v>
      </c>
      <c r="B655" s="630">
        <v>2500</v>
      </c>
      <c r="C655" s="630">
        <v>1750</v>
      </c>
      <c r="D655" s="650" t="str">
        <f t="shared" si="184"/>
        <v>UVX-M25001750</v>
      </c>
      <c r="E655" s="1046">
        <f t="shared" si="183"/>
        <v>1980.5379334999998</v>
      </c>
      <c r="F655" s="631">
        <v>22</v>
      </c>
      <c r="G655" s="632">
        <f>F655*CCBASE!$B$51</f>
        <v>792</v>
      </c>
      <c r="H655" s="632">
        <f>CCBASE!$I$11*B655/1000</f>
        <v>402.48240549999997</v>
      </c>
      <c r="I655" s="632"/>
      <c r="J655" s="632"/>
      <c r="K655" s="632"/>
      <c r="L655" s="637"/>
      <c r="M655" s="632">
        <f>CCBASE!$I$15*B655/1000</f>
        <v>199.61471250000002</v>
      </c>
      <c r="N655" s="632">
        <f>CCBASE!$I$7*B655/1000</f>
        <v>78.855699999999999</v>
      </c>
      <c r="O655" s="632">
        <f>CCBASE!$I$45*B655/1000</f>
        <v>24.925000000000001</v>
      </c>
      <c r="P655" s="632">
        <f>CCBASE!$I$9</f>
        <v>39.7111223</v>
      </c>
      <c r="Q655" s="632">
        <f>CCBASE!$I$51</f>
        <v>2.9</v>
      </c>
      <c r="R655" s="632">
        <f>CCBASE!$I$4</f>
        <v>8.3986041999999994</v>
      </c>
      <c r="S655" s="632">
        <f>CCBASE!$I$8</f>
        <v>16.25526</v>
      </c>
      <c r="T655" s="631"/>
      <c r="U655" s="637">
        <f>CCBASE!$I$47*2</f>
        <v>28.82</v>
      </c>
      <c r="V655" s="631"/>
      <c r="W655" s="632">
        <f>CCBASE!$I$42*B655/1000</f>
        <v>177.20147500000002</v>
      </c>
      <c r="X655" s="632"/>
      <c r="Y655" s="632"/>
      <c r="Z655" s="632"/>
      <c r="AA655" s="632"/>
      <c r="AB655" s="632"/>
      <c r="AC655" s="632"/>
      <c r="AD655" s="651">
        <f>CCBASE!$I$34*2</f>
        <v>209.37365399999999</v>
      </c>
      <c r="AI655" s="634"/>
      <c r="AJ655" s="634"/>
      <c r="AR655" s="635"/>
      <c r="AS655" s="635"/>
    </row>
    <row r="656" spans="1:45" ht="17" thickBot="1" x14ac:dyDescent="0.25">
      <c r="A656" s="658" t="s">
        <v>763</v>
      </c>
      <c r="B656" s="630">
        <v>2750</v>
      </c>
      <c r="C656" s="630">
        <v>1750</v>
      </c>
      <c r="D656" s="650" t="str">
        <f t="shared" si="184"/>
        <v>UVX-M27501750</v>
      </c>
      <c r="E656" s="1046">
        <f t="shared" si="183"/>
        <v>2104.8458627999998</v>
      </c>
      <c r="F656" s="631">
        <v>23</v>
      </c>
      <c r="G656" s="632">
        <f>F656*CCBASE!$B$51</f>
        <v>828</v>
      </c>
      <c r="H656" s="632">
        <f>CCBASE!$I$11*B656/1000</f>
        <v>442.73064604999996</v>
      </c>
      <c r="I656" s="632"/>
      <c r="J656" s="632"/>
      <c r="K656" s="632"/>
      <c r="L656" s="637"/>
      <c r="M656" s="632">
        <f>CCBASE!$I$15*B656/1000</f>
        <v>219.57618375000001</v>
      </c>
      <c r="N656" s="632">
        <f>CCBASE!$I$7*B656/1000</f>
        <v>86.74127</v>
      </c>
      <c r="O656" s="632">
        <f>CCBASE!$I$45*B656/1000</f>
        <v>27.4175</v>
      </c>
      <c r="P656" s="632">
        <f>CCBASE!$I$9</f>
        <v>39.7111223</v>
      </c>
      <c r="Q656" s="632">
        <f>CCBASE!$I$51</f>
        <v>2.9</v>
      </c>
      <c r="R656" s="632">
        <f>CCBASE!$I$4</f>
        <v>8.3986041999999994</v>
      </c>
      <c r="S656" s="632">
        <f>CCBASE!$I$8</f>
        <v>16.25526</v>
      </c>
      <c r="T656" s="631"/>
      <c r="U656" s="637">
        <f>CCBASE!$I$47*2</f>
        <v>28.82</v>
      </c>
      <c r="V656" s="631"/>
      <c r="W656" s="632">
        <f>CCBASE!$I$42*B656/1000</f>
        <v>194.92162249999998</v>
      </c>
      <c r="X656" s="632"/>
      <c r="Y656" s="632"/>
      <c r="Z656" s="632"/>
      <c r="AA656" s="632"/>
      <c r="AB656" s="632"/>
      <c r="AC656" s="632"/>
      <c r="AD656" s="651">
        <f>CCBASE!$I$34*2</f>
        <v>209.37365399999999</v>
      </c>
      <c r="AI656" s="634"/>
      <c r="AJ656" s="634"/>
      <c r="AK656" s="635"/>
      <c r="AL656" s="635"/>
      <c r="AM656" s="635"/>
      <c r="AN656" s="635"/>
      <c r="AO656" s="635"/>
      <c r="AP656" s="635"/>
      <c r="AQ656" s="635"/>
      <c r="AR656" s="635"/>
      <c r="AS656" s="635"/>
    </row>
    <row r="657" spans="1:45" ht="17" thickBot="1" x14ac:dyDescent="0.25">
      <c r="A657" s="658" t="s">
        <v>763</v>
      </c>
      <c r="B657" s="630">
        <v>3000</v>
      </c>
      <c r="C657" s="630">
        <v>1750</v>
      </c>
      <c r="D657" s="650" t="str">
        <f t="shared" si="184"/>
        <v>UVX-M30001750</v>
      </c>
      <c r="E657" s="1046">
        <f t="shared" si="183"/>
        <v>2193.1537920999999</v>
      </c>
      <c r="F657" s="631">
        <v>23</v>
      </c>
      <c r="G657" s="632">
        <f>F657*CCBASE!$B$51</f>
        <v>828</v>
      </c>
      <c r="H657" s="632">
        <f>CCBASE!$I$11*B657/1000</f>
        <v>482.97888659999995</v>
      </c>
      <c r="I657" s="632"/>
      <c r="J657" s="632"/>
      <c r="K657" s="632"/>
      <c r="L657" s="637"/>
      <c r="M657" s="632">
        <f>CCBASE!$I$15*B657/1000</f>
        <v>239.53765500000003</v>
      </c>
      <c r="N657" s="632">
        <f>CCBASE!$I$7*B657/1000</f>
        <v>94.626840000000016</v>
      </c>
      <c r="O657" s="632">
        <f>CCBASE!$I$45*B657/1000</f>
        <v>29.910000000000004</v>
      </c>
      <c r="P657" s="632">
        <f>CCBASE!$I$9</f>
        <v>39.7111223</v>
      </c>
      <c r="Q657" s="632">
        <f>CCBASE!$I$51</f>
        <v>2.9</v>
      </c>
      <c r="R657" s="632">
        <f>CCBASE!$I$4</f>
        <v>8.3986041999999994</v>
      </c>
      <c r="S657" s="632">
        <f>CCBASE!$I$8</f>
        <v>16.25526</v>
      </c>
      <c r="T657" s="631"/>
      <c r="U657" s="637">
        <f>CCBASE!$I$47*2</f>
        <v>28.82</v>
      </c>
      <c r="V657" s="631"/>
      <c r="W657" s="632">
        <f>CCBASE!$I$42*B657/1000</f>
        <v>212.64176999999998</v>
      </c>
      <c r="X657" s="632"/>
      <c r="Y657" s="632"/>
      <c r="Z657" s="632"/>
      <c r="AA657" s="632"/>
      <c r="AB657" s="632"/>
      <c r="AC657" s="632"/>
      <c r="AD657" s="651">
        <f>CCBASE!$I$34*2</f>
        <v>209.37365399999999</v>
      </c>
      <c r="AI657" s="634"/>
      <c r="AJ657" s="634"/>
      <c r="AK657" s="635"/>
      <c r="AL657" s="635"/>
      <c r="AM657" s="635"/>
      <c r="AN657" s="635"/>
      <c r="AO657" s="635"/>
      <c r="AP657" s="635"/>
      <c r="AQ657" s="635"/>
      <c r="AR657" s="635"/>
      <c r="AS657" s="635"/>
    </row>
    <row r="658" spans="1:45" ht="17" thickBot="1" x14ac:dyDescent="0.25">
      <c r="A658" s="658" t="s">
        <v>763</v>
      </c>
      <c r="B658" s="630">
        <v>1000</v>
      </c>
      <c r="C658" s="630">
        <v>2000</v>
      </c>
      <c r="D658" s="650" t="str">
        <f t="shared" si="184"/>
        <v>UVX-M10002000</v>
      </c>
      <c r="E658" s="1046">
        <f t="shared" si="183"/>
        <v>1483.4975133999997</v>
      </c>
      <c r="F658" s="646">
        <v>21</v>
      </c>
      <c r="G658" s="632">
        <f>F658*CCBASE!$B$51</f>
        <v>756</v>
      </c>
      <c r="H658" s="632">
        <f>CCBASE!$I$11*B658/1000</f>
        <v>160.99296219999999</v>
      </c>
      <c r="I658" s="632"/>
      <c r="J658" s="632"/>
      <c r="K658" s="632"/>
      <c r="L658" s="637"/>
      <c r="M658" s="632">
        <f>CCBASE!$I$15*B658/1000</f>
        <v>79.84588500000001</v>
      </c>
      <c r="N658" s="632">
        <f>CCBASE!$I$7*B658/1000</f>
        <v>31.542280000000002</v>
      </c>
      <c r="O658" s="632">
        <f>CCBASE!$I$45*B658/1000</f>
        <v>9.9700000000000006</v>
      </c>
      <c r="P658" s="632">
        <f>CCBASE!$I$10</f>
        <v>30.661922000000001</v>
      </c>
      <c r="Q658" s="632">
        <f>CCBASE!$I$51</f>
        <v>2.9</v>
      </c>
      <c r="R658" s="632">
        <f>CCBASE!$I$4</f>
        <v>8.3986041999999994</v>
      </c>
      <c r="S658" s="632">
        <f>CCBASE!$I$8</f>
        <v>16.25526</v>
      </c>
      <c r="T658" s="631"/>
      <c r="U658" s="637">
        <f>CCBASE!$I$47</f>
        <v>14.41</v>
      </c>
      <c r="V658" s="631"/>
      <c r="W658" s="632">
        <f>CCBASE!$I$43*B658/1000</f>
        <v>88.624119999999991</v>
      </c>
      <c r="X658" s="632"/>
      <c r="Y658" s="632"/>
      <c r="Z658" s="632"/>
      <c r="AA658" s="632"/>
      <c r="AB658" s="632"/>
      <c r="AC658" s="632"/>
      <c r="AD658" s="651">
        <f>CCBASE!$I$35*2</f>
        <v>283.89648</v>
      </c>
      <c r="AI658" s="634"/>
      <c r="AJ658" s="634"/>
      <c r="AK658" s="635"/>
      <c r="AL658" s="635"/>
      <c r="AM658" s="635"/>
      <c r="AN658" s="635"/>
      <c r="AO658" s="635"/>
      <c r="AP658" s="635"/>
      <c r="AQ658" s="635"/>
      <c r="AR658" s="635"/>
      <c r="AS658" s="635"/>
    </row>
    <row r="659" spans="1:45" ht="17" thickBot="1" x14ac:dyDescent="0.25">
      <c r="A659" s="658" t="s">
        <v>763</v>
      </c>
      <c r="B659" s="630">
        <v>1250</v>
      </c>
      <c r="C659" s="630">
        <v>2000</v>
      </c>
      <c r="D659" s="650" t="str">
        <f t="shared" si="184"/>
        <v>UVX-M12502000</v>
      </c>
      <c r="E659" s="1046">
        <f t="shared" si="183"/>
        <v>1576.2413252000001</v>
      </c>
      <c r="F659" s="631">
        <v>21</v>
      </c>
      <c r="G659" s="632">
        <f>F659*CCBASE!$B$51</f>
        <v>756</v>
      </c>
      <c r="H659" s="632">
        <f>CCBASE!$I$11*B659/1000</f>
        <v>201.24120274999999</v>
      </c>
      <c r="I659" s="632"/>
      <c r="J659" s="632"/>
      <c r="K659" s="632"/>
      <c r="L659" s="637"/>
      <c r="M659" s="632">
        <f>CCBASE!$I$15*B659/1000</f>
        <v>99.807356250000012</v>
      </c>
      <c r="N659" s="632">
        <f>CCBASE!$I$7*B659/1000</f>
        <v>39.427849999999999</v>
      </c>
      <c r="O659" s="632">
        <f>CCBASE!$I$45*B659/1000</f>
        <v>12.4625</v>
      </c>
      <c r="P659" s="632">
        <f>CCBASE!$I$10</f>
        <v>30.661922000000001</v>
      </c>
      <c r="Q659" s="632">
        <f>CCBASE!$I$51</f>
        <v>2.9</v>
      </c>
      <c r="R659" s="632">
        <f>CCBASE!$I$4</f>
        <v>8.3986041999999994</v>
      </c>
      <c r="S659" s="632">
        <f>CCBASE!$I$8</f>
        <v>16.25526</v>
      </c>
      <c r="T659" s="631"/>
      <c r="U659" s="637">
        <f>CCBASE!$I$47</f>
        <v>14.41</v>
      </c>
      <c r="V659" s="631"/>
      <c r="W659" s="632">
        <f>CCBASE!$I$43*B659/1000</f>
        <v>110.78014999999999</v>
      </c>
      <c r="X659" s="632"/>
      <c r="Y659" s="632"/>
      <c r="Z659" s="632"/>
      <c r="AA659" s="632"/>
      <c r="AB659" s="632"/>
      <c r="AC659" s="632"/>
      <c r="AD659" s="651">
        <f>CCBASE!$I$35*2</f>
        <v>283.89648</v>
      </c>
      <c r="AI659" s="634"/>
      <c r="AJ659" s="634"/>
      <c r="AK659" s="635"/>
      <c r="AL659" s="635"/>
      <c r="AM659" s="635"/>
      <c r="AN659" s="635"/>
      <c r="AO659" s="635"/>
      <c r="AP659" s="635"/>
      <c r="AQ659" s="635"/>
      <c r="AR659" s="635"/>
      <c r="AS659" s="635"/>
    </row>
    <row r="660" spans="1:45" ht="17" thickBot="1" x14ac:dyDescent="0.25">
      <c r="A660" s="658" t="s">
        <v>763</v>
      </c>
      <c r="B660" s="630">
        <v>1500</v>
      </c>
      <c r="C660" s="630">
        <v>2000</v>
      </c>
      <c r="D660" s="650" t="str">
        <f t="shared" si="184"/>
        <v>UVX-M15002000</v>
      </c>
      <c r="E660" s="1046">
        <f t="shared" si="183"/>
        <v>1668.9851369999997</v>
      </c>
      <c r="F660" s="631">
        <v>21</v>
      </c>
      <c r="G660" s="632">
        <f>F660*CCBASE!$B$51</f>
        <v>756</v>
      </c>
      <c r="H660" s="632">
        <f>CCBASE!$I$11*B660/1000</f>
        <v>241.48944329999998</v>
      </c>
      <c r="I660" s="632"/>
      <c r="J660" s="632"/>
      <c r="K660" s="632"/>
      <c r="L660" s="637"/>
      <c r="M660" s="632">
        <f>CCBASE!$I$15*B660/1000</f>
        <v>119.76882750000001</v>
      </c>
      <c r="N660" s="632">
        <f>CCBASE!$I$7*B660/1000</f>
        <v>47.313420000000008</v>
      </c>
      <c r="O660" s="632">
        <f>CCBASE!$I$45*B660/1000</f>
        <v>14.955000000000002</v>
      </c>
      <c r="P660" s="632">
        <f>CCBASE!$I$10</f>
        <v>30.661922000000001</v>
      </c>
      <c r="Q660" s="632">
        <f>CCBASE!$I$51</f>
        <v>2.9</v>
      </c>
      <c r="R660" s="632">
        <f>CCBASE!$I$4</f>
        <v>8.3986041999999994</v>
      </c>
      <c r="S660" s="632">
        <f>CCBASE!$I$8</f>
        <v>16.25526</v>
      </c>
      <c r="T660" s="631"/>
      <c r="U660" s="637">
        <f>CCBASE!$I$47</f>
        <v>14.41</v>
      </c>
      <c r="V660" s="631"/>
      <c r="W660" s="632">
        <f>CCBASE!$I$43*B660/1000</f>
        <v>132.93617999999998</v>
      </c>
      <c r="X660" s="632"/>
      <c r="Y660" s="632"/>
      <c r="Z660" s="632"/>
      <c r="AA660" s="632"/>
      <c r="AB660" s="632"/>
      <c r="AC660" s="632"/>
      <c r="AD660" s="651">
        <f>CCBASE!$I$35*2</f>
        <v>283.89648</v>
      </c>
      <c r="AI660" s="634"/>
      <c r="AJ660" s="634"/>
      <c r="AK660" s="635"/>
      <c r="AL660" s="635"/>
      <c r="AM660" s="635"/>
      <c r="AN660" s="635"/>
      <c r="AO660" s="635"/>
      <c r="AP660" s="635"/>
      <c r="AQ660" s="635"/>
      <c r="AR660" s="635"/>
      <c r="AS660" s="635"/>
    </row>
    <row r="661" spans="1:45" ht="17" thickBot="1" x14ac:dyDescent="0.25">
      <c r="A661" s="658" t="s">
        <v>763</v>
      </c>
      <c r="B661" s="630">
        <v>1750</v>
      </c>
      <c r="C661" s="630">
        <v>2000</v>
      </c>
      <c r="D661" s="650" t="str">
        <f t="shared" si="184"/>
        <v>UVX-M17502000</v>
      </c>
      <c r="E661" s="1046">
        <f t="shared" ref="E661:E670" si="185">SUM(G661:AD661)</f>
        <v>1761.7289488000001</v>
      </c>
      <c r="F661" s="631">
        <v>21</v>
      </c>
      <c r="G661" s="632">
        <f>F661*CCBASE!$B$51</f>
        <v>756</v>
      </c>
      <c r="H661" s="632">
        <f>CCBASE!$I$11*B661/1000</f>
        <v>281.73768385</v>
      </c>
      <c r="I661" s="632"/>
      <c r="J661" s="632"/>
      <c r="K661" s="632"/>
      <c r="L661" s="637"/>
      <c r="M661" s="632">
        <f>CCBASE!$I$15*B661/1000</f>
        <v>139.73029875</v>
      </c>
      <c r="N661" s="632">
        <f>CCBASE!$I$7*B661/1000</f>
        <v>55.198990000000002</v>
      </c>
      <c r="O661" s="632">
        <f>CCBASE!$I$45*B661/1000</f>
        <v>17.447500000000002</v>
      </c>
      <c r="P661" s="632">
        <f>CCBASE!$I$10</f>
        <v>30.661922000000001</v>
      </c>
      <c r="Q661" s="632">
        <f>CCBASE!$I$51</f>
        <v>2.9</v>
      </c>
      <c r="R661" s="632">
        <f>CCBASE!$I$4</f>
        <v>8.3986041999999994</v>
      </c>
      <c r="S661" s="632">
        <f>CCBASE!$I$8</f>
        <v>16.25526</v>
      </c>
      <c r="T661" s="631"/>
      <c r="U661" s="637">
        <f>CCBASE!$I$47</f>
        <v>14.41</v>
      </c>
      <c r="V661" s="631"/>
      <c r="W661" s="632">
        <f>CCBASE!$I$43*B661/1000</f>
        <v>155.09220999999999</v>
      </c>
      <c r="X661" s="632"/>
      <c r="Y661" s="632"/>
      <c r="Z661" s="632"/>
      <c r="AA661" s="632"/>
      <c r="AB661" s="632"/>
      <c r="AC661" s="632"/>
      <c r="AD661" s="651">
        <f>CCBASE!$I$35*2</f>
        <v>283.89648</v>
      </c>
      <c r="AI661" s="634"/>
      <c r="AJ661" s="634"/>
      <c r="AK661" s="635"/>
      <c r="AL661" s="635"/>
      <c r="AM661" s="635"/>
      <c r="AN661" s="635"/>
      <c r="AO661" s="635"/>
      <c r="AP661" s="635"/>
      <c r="AQ661" s="635"/>
      <c r="AR661" s="635"/>
      <c r="AS661" s="635"/>
    </row>
    <row r="662" spans="1:45" ht="17" thickBot="1" x14ac:dyDescent="0.25">
      <c r="A662" s="658" t="s">
        <v>763</v>
      </c>
      <c r="B662" s="630">
        <v>2000</v>
      </c>
      <c r="C662" s="630">
        <v>2000</v>
      </c>
      <c r="D662" s="650" t="str">
        <f t="shared" si="184"/>
        <v>UVX-M20002000</v>
      </c>
      <c r="E662" s="1046">
        <f t="shared" si="185"/>
        <v>1863.5219608999996</v>
      </c>
      <c r="F662" s="631">
        <v>21</v>
      </c>
      <c r="G662" s="632">
        <f>F662*CCBASE!$B$51</f>
        <v>756</v>
      </c>
      <c r="H662" s="632">
        <f>CCBASE!$I$11*B662/1000</f>
        <v>321.98592439999999</v>
      </c>
      <c r="I662" s="632"/>
      <c r="J662" s="632"/>
      <c r="K662" s="632"/>
      <c r="L662" s="637"/>
      <c r="M662" s="632">
        <f>CCBASE!$I$15*B662/1000</f>
        <v>159.69177000000002</v>
      </c>
      <c r="N662" s="632">
        <f>CCBASE!$I$7*B662/1000</f>
        <v>63.084560000000003</v>
      </c>
      <c r="O662" s="632">
        <f>CCBASE!$I$45*B662/1000</f>
        <v>19.940000000000001</v>
      </c>
      <c r="P662" s="632">
        <f>CCBASE!$I$9</f>
        <v>39.7111223</v>
      </c>
      <c r="Q662" s="632">
        <f>CCBASE!$I$51</f>
        <v>2.9</v>
      </c>
      <c r="R662" s="632">
        <f>CCBASE!$I$4</f>
        <v>8.3986041999999994</v>
      </c>
      <c r="S662" s="632">
        <f>CCBASE!$I$8</f>
        <v>16.25526</v>
      </c>
      <c r="T662" s="631"/>
      <c r="U662" s="637">
        <f>CCBASE!$I$47</f>
        <v>14.41</v>
      </c>
      <c r="V662" s="631"/>
      <c r="W662" s="632">
        <f>CCBASE!$I$43*B662/1000</f>
        <v>177.24823999999998</v>
      </c>
      <c r="X662" s="632"/>
      <c r="Y662" s="632"/>
      <c r="Z662" s="632"/>
      <c r="AA662" s="632"/>
      <c r="AB662" s="632"/>
      <c r="AC662" s="632"/>
      <c r="AD662" s="651">
        <f>CCBASE!$I$35*2</f>
        <v>283.89648</v>
      </c>
      <c r="AI662" s="634"/>
      <c r="AJ662" s="634"/>
    </row>
    <row r="663" spans="1:45" ht="17" thickBot="1" x14ac:dyDescent="0.25">
      <c r="A663" s="658" t="s">
        <v>763</v>
      </c>
      <c r="B663" s="630">
        <v>2250</v>
      </c>
      <c r="C663" s="630">
        <v>2000</v>
      </c>
      <c r="D663" s="650" t="str">
        <f t="shared" si="184"/>
        <v>UVX-M22502000</v>
      </c>
      <c r="E663" s="1046">
        <f t="shared" si="185"/>
        <v>2006.6757726999995</v>
      </c>
      <c r="F663" s="631">
        <v>22</v>
      </c>
      <c r="G663" s="632">
        <f>F663*CCBASE!$B$51</f>
        <v>792</v>
      </c>
      <c r="H663" s="632">
        <f>CCBASE!$I$11*B663/1000</f>
        <v>362.23416494999998</v>
      </c>
      <c r="I663" s="632"/>
      <c r="J663" s="632"/>
      <c r="K663" s="632"/>
      <c r="L663" s="637"/>
      <c r="M663" s="632">
        <f>CCBASE!$I$15*B663/1000</f>
        <v>179.65324125000001</v>
      </c>
      <c r="N663" s="632">
        <f>CCBASE!$I$7*B663/1000</f>
        <v>70.970130000000012</v>
      </c>
      <c r="O663" s="632">
        <f>CCBASE!$I$45*B663/1000</f>
        <v>22.432500000000001</v>
      </c>
      <c r="P663" s="632">
        <f>CCBASE!$I$9</f>
        <v>39.7111223</v>
      </c>
      <c r="Q663" s="632">
        <f>CCBASE!$I$51</f>
        <v>2.9</v>
      </c>
      <c r="R663" s="632">
        <f>CCBASE!$I$4</f>
        <v>8.3986041999999994</v>
      </c>
      <c r="S663" s="632">
        <f>CCBASE!$I$8</f>
        <v>16.25526</v>
      </c>
      <c r="T663" s="631"/>
      <c r="U663" s="637">
        <f>CCBASE!$I$47*2</f>
        <v>28.82</v>
      </c>
      <c r="V663" s="631"/>
      <c r="W663" s="632">
        <f>CCBASE!$I$43*B663/1000</f>
        <v>199.40427</v>
      </c>
      <c r="X663" s="632"/>
      <c r="Y663" s="632"/>
      <c r="Z663" s="632"/>
      <c r="AA663" s="632"/>
      <c r="AB663" s="632"/>
      <c r="AC663" s="632"/>
      <c r="AD663" s="651">
        <f>CCBASE!$I$35*2</f>
        <v>283.89648</v>
      </c>
      <c r="AI663" s="634"/>
      <c r="AJ663" s="634"/>
      <c r="AR663" s="635"/>
      <c r="AS663" s="635"/>
    </row>
    <row r="664" spans="1:45" ht="17" thickBot="1" x14ac:dyDescent="0.25">
      <c r="A664" s="658" t="s">
        <v>763</v>
      </c>
      <c r="B664" s="630">
        <v>2500</v>
      </c>
      <c r="C664" s="630">
        <v>2000</v>
      </c>
      <c r="D664" s="650" t="str">
        <f t="shared" si="184"/>
        <v>UVX-M25002000</v>
      </c>
      <c r="E664" s="1046">
        <f t="shared" si="185"/>
        <v>2099.4195844999995</v>
      </c>
      <c r="F664" s="631">
        <v>22</v>
      </c>
      <c r="G664" s="632">
        <f>F664*CCBASE!$B$51</f>
        <v>792</v>
      </c>
      <c r="H664" s="632">
        <f>CCBASE!$I$11*B664/1000</f>
        <v>402.48240549999997</v>
      </c>
      <c r="I664" s="632"/>
      <c r="J664" s="632"/>
      <c r="K664" s="632"/>
      <c r="L664" s="637"/>
      <c r="M664" s="632">
        <f>CCBASE!$I$15*B664/1000</f>
        <v>199.61471250000002</v>
      </c>
      <c r="N664" s="632">
        <f>CCBASE!$I$7*B664/1000</f>
        <v>78.855699999999999</v>
      </c>
      <c r="O664" s="632">
        <f>CCBASE!$I$45*B664/1000</f>
        <v>24.925000000000001</v>
      </c>
      <c r="P664" s="632">
        <f>CCBASE!$I$9</f>
        <v>39.7111223</v>
      </c>
      <c r="Q664" s="632">
        <f>CCBASE!$I$51</f>
        <v>2.9</v>
      </c>
      <c r="R664" s="632">
        <f>CCBASE!$I$4</f>
        <v>8.3986041999999994</v>
      </c>
      <c r="S664" s="632">
        <f>CCBASE!$I$8</f>
        <v>16.25526</v>
      </c>
      <c r="T664" s="631"/>
      <c r="U664" s="637">
        <f>CCBASE!$I$47*2</f>
        <v>28.82</v>
      </c>
      <c r="V664" s="631"/>
      <c r="W664" s="632">
        <f>CCBASE!$I$43*B664/1000</f>
        <v>221.56029999999998</v>
      </c>
      <c r="X664" s="632"/>
      <c r="Y664" s="632"/>
      <c r="Z664" s="632"/>
      <c r="AA664" s="632"/>
      <c r="AB664" s="632"/>
      <c r="AC664" s="632"/>
      <c r="AD664" s="651">
        <f>CCBASE!$I$35*2</f>
        <v>283.89648</v>
      </c>
      <c r="AI664" s="634"/>
      <c r="AJ664" s="634"/>
      <c r="AR664" s="635"/>
      <c r="AS664" s="635"/>
    </row>
    <row r="665" spans="1:45" ht="17" thickBot="1" x14ac:dyDescent="0.25">
      <c r="A665" s="658" t="s">
        <v>763</v>
      </c>
      <c r="B665" s="630">
        <v>2750</v>
      </c>
      <c r="C665" s="630">
        <v>2000</v>
      </c>
      <c r="D665" s="650" t="str">
        <f t="shared" si="184"/>
        <v>UVX-M27502000</v>
      </c>
      <c r="E665" s="1046">
        <f t="shared" si="185"/>
        <v>2228.1633962999995</v>
      </c>
      <c r="F665" s="631">
        <v>23</v>
      </c>
      <c r="G665" s="632">
        <f>F665*CCBASE!$B$51</f>
        <v>828</v>
      </c>
      <c r="H665" s="632">
        <f>CCBASE!$I$11*B665/1000</f>
        <v>442.73064604999996</v>
      </c>
      <c r="I665" s="632"/>
      <c r="J665" s="632"/>
      <c r="K665" s="632"/>
      <c r="L665" s="637"/>
      <c r="M665" s="632">
        <f>CCBASE!$I$15*B665/1000</f>
        <v>219.57618375000001</v>
      </c>
      <c r="N665" s="632">
        <f>CCBASE!$I$7*B665/1000</f>
        <v>86.74127</v>
      </c>
      <c r="O665" s="632">
        <f>CCBASE!$I$45*B665/1000</f>
        <v>27.4175</v>
      </c>
      <c r="P665" s="632">
        <f>CCBASE!$I$9</f>
        <v>39.7111223</v>
      </c>
      <c r="Q665" s="632">
        <f>CCBASE!$I$51</f>
        <v>2.9</v>
      </c>
      <c r="R665" s="632">
        <f>CCBASE!$I$4</f>
        <v>8.3986041999999994</v>
      </c>
      <c r="S665" s="632">
        <f>CCBASE!$I$8</f>
        <v>16.25526</v>
      </c>
      <c r="T665" s="631"/>
      <c r="U665" s="637">
        <f>CCBASE!$I$47*2</f>
        <v>28.82</v>
      </c>
      <c r="V665" s="631"/>
      <c r="W665" s="632">
        <f>CCBASE!$I$43*B665/1000</f>
        <v>243.71633</v>
      </c>
      <c r="X665" s="632"/>
      <c r="Y665" s="632"/>
      <c r="Z665" s="632"/>
      <c r="AA665" s="632"/>
      <c r="AB665" s="632"/>
      <c r="AC665" s="632"/>
      <c r="AD665" s="651">
        <f>CCBASE!$I$35*2</f>
        <v>283.89648</v>
      </c>
      <c r="AI665" s="634"/>
      <c r="AJ665" s="634"/>
      <c r="AK665" s="635"/>
      <c r="AL665" s="635"/>
      <c r="AM665" s="635"/>
      <c r="AN665" s="635"/>
      <c r="AO665" s="635"/>
      <c r="AP665" s="635"/>
      <c r="AQ665" s="635"/>
      <c r="AR665" s="635"/>
      <c r="AS665" s="635"/>
    </row>
    <row r="666" spans="1:45" ht="17" thickBot="1" x14ac:dyDescent="0.25">
      <c r="A666" s="658" t="s">
        <v>763</v>
      </c>
      <c r="B666" s="652">
        <v>3000</v>
      </c>
      <c r="C666" s="652">
        <v>2000</v>
      </c>
      <c r="D666" s="653" t="str">
        <f t="shared" si="184"/>
        <v>UVX-M30002000</v>
      </c>
      <c r="E666" s="1046">
        <f t="shared" si="185"/>
        <v>2320.9072080999995</v>
      </c>
      <c r="F666" s="631">
        <v>23</v>
      </c>
      <c r="G666" s="654">
        <f>F666*CCBASE!$B$51</f>
        <v>828</v>
      </c>
      <c r="H666" s="654">
        <f>CCBASE!$I$11*B666/1000</f>
        <v>482.97888659999995</v>
      </c>
      <c r="I666" s="654"/>
      <c r="J666" s="654"/>
      <c r="K666" s="654"/>
      <c r="L666" s="655"/>
      <c r="M666" s="654">
        <f>CCBASE!$I$15*B666/1000</f>
        <v>239.53765500000003</v>
      </c>
      <c r="N666" s="654">
        <f>CCBASE!$I$7*B666/1000</f>
        <v>94.626840000000016</v>
      </c>
      <c r="O666" s="654">
        <f>CCBASE!$I$45*B666/1000</f>
        <v>29.910000000000004</v>
      </c>
      <c r="P666" s="654">
        <f>CCBASE!$I$9</f>
        <v>39.7111223</v>
      </c>
      <c r="Q666" s="654">
        <f>CCBASE!$I$51</f>
        <v>2.9</v>
      </c>
      <c r="R666" s="654">
        <f>CCBASE!$I$4</f>
        <v>8.3986041999999994</v>
      </c>
      <c r="S666" s="654">
        <f>CCBASE!$I$8</f>
        <v>16.25526</v>
      </c>
      <c r="T666" s="656"/>
      <c r="U666" s="655">
        <f>CCBASE!$I$47*2</f>
        <v>28.82</v>
      </c>
      <c r="V666" s="656"/>
      <c r="W666" s="654">
        <f>CCBASE!$I$43*B666/1000</f>
        <v>265.87235999999996</v>
      </c>
      <c r="X666" s="654"/>
      <c r="Y666" s="654"/>
      <c r="Z666" s="654"/>
      <c r="AA666" s="654"/>
      <c r="AB666" s="654"/>
      <c r="AC666" s="654"/>
      <c r="AD666" s="657">
        <f>CCBASE!$I$35*2</f>
        <v>283.89648</v>
      </c>
      <c r="AI666" s="634"/>
      <c r="AJ666" s="634"/>
      <c r="AK666" s="635"/>
      <c r="AL666" s="635"/>
      <c r="AM666" s="635"/>
      <c r="AN666" s="635"/>
      <c r="AO666" s="635"/>
      <c r="AP666" s="635"/>
      <c r="AQ666" s="635"/>
      <c r="AR666" s="635"/>
      <c r="AS666" s="635"/>
    </row>
    <row r="667" spans="1:45" x14ac:dyDescent="0.2">
      <c r="A667" s="659" t="s">
        <v>658</v>
      </c>
      <c r="B667" s="630">
        <v>1500</v>
      </c>
      <c r="C667" s="630">
        <v>1000</v>
      </c>
      <c r="D667" s="650" t="str">
        <f t="shared" ref="D667:D670" si="186">$A667&amp;B667&amp;C667</f>
        <v>UV-C POD15001000</v>
      </c>
      <c r="E667" s="1046">
        <f t="shared" si="185"/>
        <v>1090</v>
      </c>
      <c r="F667" s="631">
        <v>20</v>
      </c>
      <c r="G667" s="632">
        <f>F667*CCBASE!$B$51</f>
        <v>720</v>
      </c>
      <c r="H667" s="632"/>
      <c r="I667" s="632">
        <v>320</v>
      </c>
      <c r="J667" s="632">
        <v>50</v>
      </c>
      <c r="K667" s="632"/>
      <c r="L667" s="637"/>
      <c r="M667" s="637"/>
      <c r="N667" s="637"/>
      <c r="O667" s="637"/>
      <c r="P667" s="637"/>
      <c r="Q667" s="637"/>
      <c r="R667" s="637"/>
      <c r="S667" s="637"/>
      <c r="T667" s="637"/>
      <c r="U667" s="637"/>
      <c r="V667" s="637"/>
      <c r="W667" s="637"/>
      <c r="X667" s="637"/>
      <c r="Y667" s="637"/>
      <c r="Z667" s="637"/>
      <c r="AA667" s="637"/>
      <c r="AB667" s="637"/>
      <c r="AC667" s="637"/>
      <c r="AD667" s="637"/>
      <c r="AI667" s="634"/>
      <c r="AJ667" s="634"/>
      <c r="AR667" s="635"/>
      <c r="AS667" s="635"/>
    </row>
    <row r="668" spans="1:45" x14ac:dyDescent="0.2">
      <c r="A668" s="659" t="s">
        <v>658</v>
      </c>
      <c r="B668" s="630">
        <v>2000</v>
      </c>
      <c r="C668" s="630">
        <v>1000</v>
      </c>
      <c r="D668" s="650" t="str">
        <f t="shared" si="186"/>
        <v>UV-C POD20001000</v>
      </c>
      <c r="E668" s="1046">
        <f t="shared" si="185"/>
        <v>1196</v>
      </c>
      <c r="F668" s="631">
        <v>20</v>
      </c>
      <c r="G668" s="632">
        <f>F668*CCBASE!$B$51</f>
        <v>720</v>
      </c>
      <c r="H668" s="632"/>
      <c r="I668" s="632">
        <v>426</v>
      </c>
      <c r="J668" s="632">
        <v>50</v>
      </c>
      <c r="K668" s="632"/>
      <c r="L668" s="637"/>
      <c r="M668" s="637"/>
      <c r="N668" s="637"/>
      <c r="O668" s="637"/>
      <c r="P668" s="637"/>
      <c r="Q668" s="637"/>
      <c r="R668" s="637"/>
      <c r="S668" s="637"/>
      <c r="T668" s="637"/>
      <c r="U668" s="637"/>
      <c r="V668" s="637"/>
      <c r="W668" s="637"/>
      <c r="X668" s="637"/>
      <c r="Y668" s="637"/>
      <c r="Z668" s="637"/>
      <c r="AA668" s="637"/>
      <c r="AB668" s="637"/>
      <c r="AC668" s="637"/>
      <c r="AD668" s="637"/>
      <c r="AI668" s="634"/>
      <c r="AJ668" s="634"/>
      <c r="AR668" s="635"/>
      <c r="AS668" s="635"/>
    </row>
    <row r="669" spans="1:45" x14ac:dyDescent="0.2">
      <c r="A669" s="659" t="s">
        <v>658</v>
      </c>
      <c r="B669" s="630">
        <v>2500</v>
      </c>
      <c r="C669" s="630">
        <v>1000</v>
      </c>
      <c r="D669" s="650" t="str">
        <f t="shared" si="186"/>
        <v>UV-C POD25001000</v>
      </c>
      <c r="E669" s="1046">
        <f t="shared" si="185"/>
        <v>1303</v>
      </c>
      <c r="F669" s="631">
        <v>20</v>
      </c>
      <c r="G669" s="632">
        <f>F669*CCBASE!$B$51</f>
        <v>720</v>
      </c>
      <c r="H669" s="632"/>
      <c r="I669" s="632">
        <v>533</v>
      </c>
      <c r="J669" s="632">
        <v>50</v>
      </c>
      <c r="K669" s="632"/>
      <c r="L669" s="637"/>
      <c r="M669" s="637"/>
      <c r="N669" s="637"/>
      <c r="O669" s="637"/>
      <c r="P669" s="637"/>
      <c r="Q669" s="637"/>
      <c r="R669" s="637"/>
      <c r="S669" s="637"/>
      <c r="T669" s="637"/>
      <c r="U669" s="637"/>
      <c r="V669" s="637"/>
      <c r="W669" s="637"/>
      <c r="X669" s="637"/>
      <c r="Y669" s="637"/>
      <c r="Z669" s="637"/>
      <c r="AA669" s="637"/>
      <c r="AB669" s="637"/>
      <c r="AC669" s="637"/>
      <c r="AD669" s="637"/>
      <c r="AI669" s="634"/>
      <c r="AJ669" s="634"/>
      <c r="AK669" s="635"/>
      <c r="AL669" s="635"/>
      <c r="AM669" s="635"/>
      <c r="AN669" s="635"/>
      <c r="AO669" s="635"/>
      <c r="AP669" s="635"/>
      <c r="AQ669" s="635"/>
      <c r="AR669" s="635"/>
      <c r="AS669" s="635"/>
    </row>
    <row r="670" spans="1:45" ht="17" thickBot="1" x14ac:dyDescent="0.25">
      <c r="A670" s="659" t="s">
        <v>658</v>
      </c>
      <c r="B670" s="652">
        <v>3000</v>
      </c>
      <c r="C670" s="652">
        <v>1000</v>
      </c>
      <c r="D670" s="653" t="str">
        <f t="shared" si="186"/>
        <v>UV-C POD30001000</v>
      </c>
      <c r="E670" s="1046">
        <f t="shared" si="185"/>
        <v>1409</v>
      </c>
      <c r="F670" s="656">
        <v>20</v>
      </c>
      <c r="G670" s="654">
        <f>F670*CCBASE!$B$51</f>
        <v>720</v>
      </c>
      <c r="H670" s="654"/>
      <c r="I670" s="654">
        <v>639</v>
      </c>
      <c r="J670" s="654">
        <v>50</v>
      </c>
      <c r="K670" s="654"/>
      <c r="L670" s="637"/>
      <c r="M670" s="637"/>
      <c r="N670" s="637"/>
      <c r="O670" s="637"/>
      <c r="P670" s="637"/>
      <c r="Q670" s="637"/>
      <c r="R670" s="637"/>
      <c r="S670" s="637"/>
      <c r="T670" s="637"/>
      <c r="U670" s="637"/>
      <c r="V670" s="637"/>
      <c r="W670" s="637"/>
      <c r="X670" s="637"/>
      <c r="Y670" s="637"/>
      <c r="Z670" s="637"/>
      <c r="AA670" s="637"/>
      <c r="AB670" s="637"/>
      <c r="AC670" s="637"/>
      <c r="AD670" s="637"/>
      <c r="AI670" s="634"/>
      <c r="AJ670" s="634"/>
      <c r="AK670" s="635"/>
      <c r="AL670" s="635"/>
      <c r="AM670" s="635"/>
      <c r="AN670" s="635"/>
      <c r="AO670" s="635"/>
      <c r="AP670" s="635"/>
      <c r="AQ670" s="635"/>
      <c r="AR670" s="635"/>
      <c r="AS670" s="635"/>
    </row>
  </sheetData>
  <conditionalFormatting sqref="A2:D670">
    <cfRule type="cellIs" dxfId="1" priority="1" operator="greaterThan">
      <formula>0</formula>
    </cfRule>
  </conditionalFormatting>
  <conditionalFormatting sqref="F2:AD670">
    <cfRule type="cellIs" dxfId="0" priority="2" operator="greaterThan">
      <formula>0</formula>
    </cfRule>
  </conditionalFormatting>
  <pageMargins left="0.7" right="0.7" top="0.75" bottom="0.75" header="0.3" footer="0.3"/>
  <pageSetup paperSize="9" orientation="portrait" verticalDpi="0" r:id="rId1"/>
  <cellWatches>
    <cellWatch r="E2"/>
  </cellWatch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FF0000"/>
    <pageSetUpPr fitToPage="1"/>
  </sheetPr>
  <dimension ref="A1:Q89"/>
  <sheetViews>
    <sheetView topLeftCell="A30" zoomScale="85" zoomScaleNormal="85" workbookViewId="0">
      <selection activeCell="E51" sqref="E51"/>
    </sheetView>
  </sheetViews>
  <sheetFormatPr baseColWidth="10" defaultColWidth="8.83203125" defaultRowHeight="13" x14ac:dyDescent="0.15"/>
  <cols>
    <col min="1" max="1" width="35.5" style="426" bestFit="1" customWidth="1"/>
    <col min="2" max="2" width="12.5" style="426" bestFit="1" customWidth="1"/>
    <col min="3" max="3" width="19.1640625" style="426" bestFit="1" customWidth="1"/>
    <col min="4" max="4" width="26.1640625" style="426" bestFit="1" customWidth="1"/>
    <col min="5" max="5" width="12.5" style="426" bestFit="1" customWidth="1"/>
    <col min="6" max="6" width="14" style="426" bestFit="1" customWidth="1"/>
    <col min="7" max="7" width="14.33203125" style="426" bestFit="1" customWidth="1"/>
    <col min="8" max="8" width="16.6640625" style="426" bestFit="1" customWidth="1"/>
    <col min="9" max="10" width="13.33203125" style="426" bestFit="1" customWidth="1"/>
    <col min="11" max="11" width="12.5" style="426" bestFit="1" customWidth="1"/>
    <col min="12" max="12" width="14.33203125" style="426" bestFit="1" customWidth="1"/>
    <col min="13" max="13" width="16.6640625" style="426" bestFit="1" customWidth="1"/>
    <col min="14" max="14" width="13.33203125" style="426" bestFit="1" customWidth="1"/>
    <col min="15" max="15" width="7.33203125" style="426" customWidth="1"/>
    <col min="16" max="16" width="29.1640625" style="426" customWidth="1"/>
    <col min="17" max="17" width="21.6640625" style="426" bestFit="1" customWidth="1"/>
    <col min="18" max="16384" width="8.83203125" style="426"/>
  </cols>
  <sheetData>
    <row r="1" spans="1:17" ht="16" x14ac:dyDescent="0.2">
      <c r="A1" s="443" t="s">
        <v>1345</v>
      </c>
      <c r="B1" s="444"/>
      <c r="C1" s="445"/>
      <c r="D1" s="444"/>
      <c r="E1" s="444"/>
      <c r="F1" s="445"/>
      <c r="G1" s="445"/>
      <c r="H1" s="445"/>
      <c r="I1" s="445"/>
      <c r="J1" s="428"/>
      <c r="K1" s="428"/>
      <c r="L1" s="428"/>
      <c r="M1" s="427"/>
      <c r="N1" s="427"/>
      <c r="O1" s="427"/>
      <c r="P1" s="427"/>
      <c r="Q1" s="427"/>
    </row>
    <row r="2" spans="1:17" x14ac:dyDescent="0.15">
      <c r="A2" s="430"/>
      <c r="B2" s="430"/>
      <c r="C2" s="430"/>
      <c r="D2" s="430"/>
      <c r="E2" s="430"/>
      <c r="F2" s="430"/>
      <c r="G2" s="430"/>
      <c r="H2" s="430"/>
      <c r="I2" s="430"/>
      <c r="J2" s="430"/>
      <c r="K2" s="430"/>
      <c r="L2" s="430"/>
      <c r="M2" s="429"/>
      <c r="N2" s="430"/>
      <c r="O2" s="430"/>
      <c r="P2" s="430"/>
      <c r="Q2" s="430"/>
    </row>
    <row r="3" spans="1:17" ht="14" x14ac:dyDescent="0.15">
      <c r="A3" s="456"/>
      <c r="B3" s="454" t="s">
        <v>142</v>
      </c>
      <c r="C3" s="457" t="s">
        <v>150</v>
      </c>
      <c r="D3" s="454" t="s">
        <v>143</v>
      </c>
      <c r="E3" s="457" t="s">
        <v>144</v>
      </c>
      <c r="F3" s="457" t="s">
        <v>145</v>
      </c>
      <c r="G3" s="457" t="s">
        <v>156</v>
      </c>
      <c r="H3" s="457" t="s">
        <v>157</v>
      </c>
      <c r="I3" s="454" t="s">
        <v>87</v>
      </c>
      <c r="J3" s="428"/>
      <c r="K3" s="430"/>
      <c r="L3" s="430"/>
      <c r="M3" s="430"/>
    </row>
    <row r="4" spans="1:17" x14ac:dyDescent="0.15">
      <c r="A4" s="458" t="s">
        <v>151</v>
      </c>
      <c r="B4" s="455" t="s">
        <v>146</v>
      </c>
      <c r="C4" s="435">
        <f t="shared" ref="C4:C48" si="0">HLOOKUP(B4,$A$50:$N$51,2,FALSE)</f>
        <v>44.47</v>
      </c>
      <c r="D4" s="455">
        <v>0.14199999999999999</v>
      </c>
      <c r="E4" s="436">
        <f t="shared" ref="E4:E48" si="1">C4*D4</f>
        <v>6.3147399999999996</v>
      </c>
      <c r="F4" s="436">
        <f t="shared" ref="F4:F43" si="2">E4*$A$51</f>
        <v>2.0838641999999998</v>
      </c>
      <c r="G4" s="435"/>
      <c r="H4" s="435"/>
      <c r="I4" s="437">
        <f>SUM(E4:H4)</f>
        <v>8.3986041999999994</v>
      </c>
      <c r="J4" s="438"/>
    </row>
    <row r="5" spans="1:17" x14ac:dyDescent="0.15">
      <c r="A5" s="458" t="s">
        <v>152</v>
      </c>
      <c r="B5" s="441" t="s">
        <v>146</v>
      </c>
      <c r="C5" s="435">
        <f t="shared" si="0"/>
        <v>44.47</v>
      </c>
      <c r="D5" s="441">
        <v>0.79300000000000004</v>
      </c>
      <c r="E5" s="436">
        <f t="shared" si="1"/>
        <v>35.264710000000001</v>
      </c>
      <c r="F5" s="436">
        <f t="shared" si="2"/>
        <v>11.6373543</v>
      </c>
      <c r="G5" s="435"/>
      <c r="H5" s="435"/>
      <c r="I5" s="437">
        <f>SUM(E5:H5)</f>
        <v>46.902064299999999</v>
      </c>
      <c r="J5" s="438"/>
    </row>
    <row r="6" spans="1:17" x14ac:dyDescent="0.15">
      <c r="A6" s="458" t="s">
        <v>569</v>
      </c>
      <c r="B6" s="441" t="s">
        <v>146</v>
      </c>
      <c r="C6" s="435">
        <f t="shared" si="0"/>
        <v>44.47</v>
      </c>
      <c r="D6" s="441">
        <v>2.0499999999999998</v>
      </c>
      <c r="E6" s="436">
        <f t="shared" si="1"/>
        <v>91.163499999999985</v>
      </c>
      <c r="F6" s="436">
        <f t="shared" si="2"/>
        <v>30.083954999999996</v>
      </c>
      <c r="G6" s="435"/>
      <c r="H6" s="435"/>
      <c r="I6" s="437">
        <f>SUM(E6:H6)</f>
        <v>121.24745499999997</v>
      </c>
      <c r="J6" s="438"/>
    </row>
    <row r="7" spans="1:17" x14ac:dyDescent="0.15">
      <c r="A7" s="458" t="s">
        <v>202</v>
      </c>
      <c r="B7" s="441" t="s">
        <v>149</v>
      </c>
      <c r="C7" s="788">
        <f t="shared" si="0"/>
        <v>30.8</v>
      </c>
      <c r="D7" s="441">
        <v>0.77</v>
      </c>
      <c r="E7" s="436">
        <f t="shared" si="1"/>
        <v>23.716000000000001</v>
      </c>
      <c r="F7" s="436">
        <f t="shared" si="2"/>
        <v>7.8262800000000006</v>
      </c>
      <c r="G7" s="435"/>
      <c r="H7" s="435"/>
      <c r="I7" s="437">
        <f>SUM(E7:H7)</f>
        <v>31.542280000000002</v>
      </c>
      <c r="J7" s="438"/>
    </row>
    <row r="8" spans="1:17" x14ac:dyDescent="0.15">
      <c r="A8" s="458" t="s">
        <v>153</v>
      </c>
      <c r="B8" s="441" t="s">
        <v>147</v>
      </c>
      <c r="C8" s="435">
        <f t="shared" si="0"/>
        <v>40.74</v>
      </c>
      <c r="D8" s="441">
        <v>0.3</v>
      </c>
      <c r="E8" s="436">
        <f t="shared" si="1"/>
        <v>12.222</v>
      </c>
      <c r="F8" s="436">
        <f t="shared" si="2"/>
        <v>4.0332600000000003</v>
      </c>
      <c r="G8" s="435"/>
      <c r="H8" s="435"/>
      <c r="I8" s="437">
        <f>SUM(E8:H8)</f>
        <v>16.25526</v>
      </c>
      <c r="J8" s="434"/>
    </row>
    <row r="9" spans="1:17" x14ac:dyDescent="0.15">
      <c r="A9" s="458" t="s">
        <v>154</v>
      </c>
      <c r="B9" s="441" t="s">
        <v>146</v>
      </c>
      <c r="C9" s="435">
        <f t="shared" si="0"/>
        <v>44.47</v>
      </c>
      <c r="D9" s="441">
        <v>0.373</v>
      </c>
      <c r="E9" s="439">
        <f t="shared" si="1"/>
        <v>16.587309999999999</v>
      </c>
      <c r="F9" s="439">
        <f t="shared" si="2"/>
        <v>5.4738122999999996</v>
      </c>
      <c r="G9" s="435">
        <f>$C$51</f>
        <v>12.19</v>
      </c>
      <c r="H9" s="435">
        <f>$D$51</f>
        <v>5.46</v>
      </c>
      <c r="I9" s="437">
        <f t="shared" ref="I9:I10" si="3">SUM(E9:H9)</f>
        <v>39.7111223</v>
      </c>
      <c r="J9" s="438"/>
    </row>
    <row r="10" spans="1:17" x14ac:dyDescent="0.15">
      <c r="A10" s="458" t="s">
        <v>155</v>
      </c>
      <c r="B10" s="441" t="s">
        <v>146</v>
      </c>
      <c r="C10" s="435">
        <f t="shared" si="0"/>
        <v>44.47</v>
      </c>
      <c r="D10" s="441">
        <v>0.22</v>
      </c>
      <c r="E10" s="439">
        <f t="shared" si="1"/>
        <v>9.7834000000000003</v>
      </c>
      <c r="F10" s="439">
        <f t="shared" si="2"/>
        <v>3.2285220000000003</v>
      </c>
      <c r="G10" s="435">
        <f>$C$51</f>
        <v>12.19</v>
      </c>
      <c r="H10" s="435">
        <f>$D$51</f>
        <v>5.46</v>
      </c>
      <c r="I10" s="437">
        <f t="shared" si="3"/>
        <v>30.661922000000001</v>
      </c>
      <c r="J10" s="434"/>
    </row>
    <row r="11" spans="1:17" x14ac:dyDescent="0.15">
      <c r="A11" s="458" t="s">
        <v>158</v>
      </c>
      <c r="B11" s="441" t="s">
        <v>146</v>
      </c>
      <c r="C11" s="435">
        <f t="shared" si="0"/>
        <v>44.47</v>
      </c>
      <c r="D11" s="441">
        <v>2.722</v>
      </c>
      <c r="E11" s="435">
        <f t="shared" si="1"/>
        <v>121.04733999999999</v>
      </c>
      <c r="F11" s="435">
        <f t="shared" si="2"/>
        <v>39.945622200000003</v>
      </c>
      <c r="G11" s="435"/>
      <c r="H11" s="435"/>
      <c r="I11" s="437">
        <f t="shared" ref="I11:I45" si="4">SUM(E11:H11)</f>
        <v>160.99296219999999</v>
      </c>
      <c r="J11" s="434"/>
    </row>
    <row r="12" spans="1:17" x14ac:dyDescent="0.15">
      <c r="A12" s="458" t="s">
        <v>159</v>
      </c>
      <c r="B12" s="441" t="s">
        <v>146</v>
      </c>
      <c r="C12" s="435">
        <f t="shared" si="0"/>
        <v>44.47</v>
      </c>
      <c r="D12" s="441">
        <v>2.0230000000000001</v>
      </c>
      <c r="E12" s="435">
        <f t="shared" si="1"/>
        <v>89.962810000000005</v>
      </c>
      <c r="F12" s="435">
        <f t="shared" si="2"/>
        <v>29.687727300000002</v>
      </c>
      <c r="G12" s="435"/>
      <c r="H12" s="435"/>
      <c r="I12" s="437">
        <f t="shared" si="4"/>
        <v>119.65053730000001</v>
      </c>
      <c r="J12" s="438"/>
    </row>
    <row r="13" spans="1:17" x14ac:dyDescent="0.15">
      <c r="A13" s="458" t="s">
        <v>160</v>
      </c>
      <c r="B13" s="441" t="s">
        <v>146</v>
      </c>
      <c r="C13" s="435">
        <f t="shared" si="0"/>
        <v>44.47</v>
      </c>
      <c r="D13" s="441">
        <v>4.05</v>
      </c>
      <c r="E13" s="435">
        <f t="shared" si="1"/>
        <v>180.1035</v>
      </c>
      <c r="F13" s="435">
        <f t="shared" si="2"/>
        <v>59.434155000000004</v>
      </c>
      <c r="G13" s="435"/>
      <c r="H13" s="435"/>
      <c r="I13" s="437">
        <f t="shared" si="4"/>
        <v>239.537655</v>
      </c>
      <c r="J13" s="438"/>
    </row>
    <row r="14" spans="1:17" x14ac:dyDescent="0.15">
      <c r="A14" s="458" t="s">
        <v>161</v>
      </c>
      <c r="B14" s="441" t="s">
        <v>146</v>
      </c>
      <c r="C14" s="435">
        <f t="shared" si="0"/>
        <v>44.47</v>
      </c>
      <c r="D14" s="441">
        <v>3.54</v>
      </c>
      <c r="E14" s="435">
        <f t="shared" si="1"/>
        <v>157.4238</v>
      </c>
      <c r="F14" s="435">
        <f t="shared" si="2"/>
        <v>51.949854000000002</v>
      </c>
      <c r="G14" s="435"/>
      <c r="H14" s="435"/>
      <c r="I14" s="437">
        <f t="shared" si="4"/>
        <v>209.37365399999999</v>
      </c>
      <c r="J14" s="438"/>
    </row>
    <row r="15" spans="1:17" x14ac:dyDescent="0.15">
      <c r="A15" s="458" t="s">
        <v>162</v>
      </c>
      <c r="B15" s="441" t="s">
        <v>146</v>
      </c>
      <c r="C15" s="435">
        <f t="shared" si="0"/>
        <v>44.47</v>
      </c>
      <c r="D15" s="441">
        <v>1.35</v>
      </c>
      <c r="E15" s="435">
        <f t="shared" si="1"/>
        <v>60.034500000000001</v>
      </c>
      <c r="F15" s="435">
        <f t="shared" si="2"/>
        <v>19.811385000000001</v>
      </c>
      <c r="G15" s="435"/>
      <c r="H15" s="435"/>
      <c r="I15" s="437">
        <f t="shared" si="4"/>
        <v>79.84588500000001</v>
      </c>
      <c r="J15" s="438"/>
      <c r="K15" s="438"/>
    </row>
    <row r="16" spans="1:17" x14ac:dyDescent="0.15">
      <c r="A16" s="458" t="s">
        <v>330</v>
      </c>
      <c r="B16" s="441" t="s">
        <v>146</v>
      </c>
      <c r="C16" s="435">
        <f t="shared" si="0"/>
        <v>44.47</v>
      </c>
      <c r="D16" s="441">
        <v>1.3357000000000001</v>
      </c>
      <c r="E16" s="435">
        <f t="shared" si="1"/>
        <v>59.398579000000005</v>
      </c>
      <c r="F16" s="435">
        <f t="shared" si="2"/>
        <v>19.601531070000004</v>
      </c>
      <c r="G16" s="435"/>
      <c r="H16" s="435"/>
      <c r="I16" s="437">
        <f t="shared" si="4"/>
        <v>79.000110070000005</v>
      </c>
      <c r="J16" s="438"/>
    </row>
    <row r="17" spans="1:17" x14ac:dyDescent="0.15">
      <c r="A17" s="458" t="s">
        <v>331</v>
      </c>
      <c r="B17" s="441" t="s">
        <v>146</v>
      </c>
      <c r="C17" s="435">
        <f t="shared" si="0"/>
        <v>44.47</v>
      </c>
      <c r="D17" s="441">
        <v>1.669</v>
      </c>
      <c r="E17" s="435">
        <f t="shared" si="1"/>
        <v>74.220429999999993</v>
      </c>
      <c r="F17" s="435">
        <f t="shared" si="2"/>
        <v>24.492741899999999</v>
      </c>
      <c r="G17" s="435"/>
      <c r="H17" s="435"/>
      <c r="I17" s="437">
        <f t="shared" si="4"/>
        <v>98.713171899999992</v>
      </c>
      <c r="J17" s="438"/>
    </row>
    <row r="18" spans="1:17" x14ac:dyDescent="0.15">
      <c r="A18" s="458" t="s">
        <v>332</v>
      </c>
      <c r="B18" s="441" t="s">
        <v>146</v>
      </c>
      <c r="C18" s="435">
        <f t="shared" si="0"/>
        <v>44.47</v>
      </c>
      <c r="D18" s="441">
        <v>2.57</v>
      </c>
      <c r="E18" s="435">
        <f t="shared" si="1"/>
        <v>114.28789999999999</v>
      </c>
      <c r="F18" s="435">
        <f t="shared" si="2"/>
        <v>37.715007</v>
      </c>
      <c r="G18" s="435"/>
      <c r="H18" s="435"/>
      <c r="I18" s="437">
        <f t="shared" si="4"/>
        <v>152.00290699999999</v>
      </c>
      <c r="J18" s="438"/>
    </row>
    <row r="19" spans="1:17" x14ac:dyDescent="0.15">
      <c r="A19" s="458" t="s">
        <v>355</v>
      </c>
      <c r="B19" s="441" t="s">
        <v>146</v>
      </c>
      <c r="C19" s="435">
        <f t="shared" si="0"/>
        <v>44.47</v>
      </c>
      <c r="D19" s="441">
        <v>2.8</v>
      </c>
      <c r="E19" s="435">
        <f t="shared" si="1"/>
        <v>124.51599999999999</v>
      </c>
      <c r="F19" s="435">
        <f t="shared" si="2"/>
        <v>41.09028</v>
      </c>
      <c r="G19" s="435"/>
      <c r="H19" s="435"/>
      <c r="I19" s="437">
        <f t="shared" si="4"/>
        <v>165.60628</v>
      </c>
      <c r="J19" s="438"/>
    </row>
    <row r="20" spans="1:17" x14ac:dyDescent="0.15">
      <c r="A20" s="458" t="s">
        <v>329</v>
      </c>
      <c r="B20" s="441" t="s">
        <v>146</v>
      </c>
      <c r="C20" s="435">
        <f t="shared" si="0"/>
        <v>44.47</v>
      </c>
      <c r="D20" s="441">
        <v>1.4650000000000001</v>
      </c>
      <c r="E20" s="435">
        <f t="shared" si="1"/>
        <v>65.14855</v>
      </c>
      <c r="F20" s="435">
        <f t="shared" si="2"/>
        <v>21.499021500000001</v>
      </c>
      <c r="G20" s="435"/>
      <c r="H20" s="435"/>
      <c r="I20" s="437">
        <f t="shared" si="4"/>
        <v>86.647571499999998</v>
      </c>
      <c r="J20" s="438"/>
    </row>
    <row r="21" spans="1:17" x14ac:dyDescent="0.15">
      <c r="A21" s="458" t="s">
        <v>549</v>
      </c>
      <c r="B21" s="441" t="s">
        <v>146</v>
      </c>
      <c r="C21" s="435">
        <f t="shared" si="0"/>
        <v>44.47</v>
      </c>
      <c r="D21" s="441">
        <v>3.7</v>
      </c>
      <c r="E21" s="435">
        <f t="shared" si="1"/>
        <v>164.53900000000002</v>
      </c>
      <c r="F21" s="435">
        <f t="shared" si="2"/>
        <v>54.29787000000001</v>
      </c>
      <c r="G21" s="435"/>
      <c r="H21" s="435"/>
      <c r="I21" s="437">
        <f t="shared" si="4"/>
        <v>218.83687000000003</v>
      </c>
      <c r="J21" s="438"/>
      <c r="N21" s="427"/>
      <c r="O21" s="427"/>
      <c r="P21" s="427"/>
      <c r="Q21" s="427"/>
    </row>
    <row r="22" spans="1:17" x14ac:dyDescent="0.15">
      <c r="A22" s="458" t="s">
        <v>550</v>
      </c>
      <c r="B22" s="441" t="s">
        <v>146</v>
      </c>
      <c r="C22" s="435">
        <f t="shared" si="0"/>
        <v>44.47</v>
      </c>
      <c r="D22" s="441">
        <v>4.2</v>
      </c>
      <c r="E22" s="435">
        <f t="shared" si="1"/>
        <v>186.774</v>
      </c>
      <c r="F22" s="435">
        <f t="shared" si="2"/>
        <v>61.635420000000003</v>
      </c>
      <c r="G22" s="435"/>
      <c r="H22" s="435"/>
      <c r="I22" s="437">
        <f t="shared" si="4"/>
        <v>248.40942000000001</v>
      </c>
      <c r="J22" s="438"/>
      <c r="K22" s="787"/>
      <c r="M22" s="427"/>
      <c r="N22" s="427"/>
      <c r="O22" s="427"/>
      <c r="P22" s="427"/>
      <c r="Q22" s="427"/>
    </row>
    <row r="23" spans="1:17" x14ac:dyDescent="0.15">
      <c r="A23" s="458" t="s">
        <v>551</v>
      </c>
      <c r="B23" s="441" t="s">
        <v>146</v>
      </c>
      <c r="C23" s="435">
        <f t="shared" si="0"/>
        <v>44.47</v>
      </c>
      <c r="D23" s="441">
        <v>4.8499999999999996</v>
      </c>
      <c r="E23" s="435">
        <f t="shared" si="1"/>
        <v>215.67949999999999</v>
      </c>
      <c r="F23" s="435">
        <f t="shared" si="2"/>
        <v>71.174234999999996</v>
      </c>
      <c r="G23" s="435"/>
      <c r="H23" s="435"/>
      <c r="I23" s="437">
        <f t="shared" si="4"/>
        <v>286.85373499999997</v>
      </c>
      <c r="J23" s="438"/>
      <c r="M23" s="427"/>
      <c r="N23" s="427"/>
      <c r="O23" s="427"/>
      <c r="P23" s="427"/>
      <c r="Q23" s="427"/>
    </row>
    <row r="24" spans="1:17" x14ac:dyDescent="0.15">
      <c r="A24" s="458" t="s">
        <v>552</v>
      </c>
      <c r="B24" s="441" t="s">
        <v>146</v>
      </c>
      <c r="C24" s="435">
        <f t="shared" si="0"/>
        <v>44.47</v>
      </c>
      <c r="D24" s="441">
        <v>7</v>
      </c>
      <c r="E24" s="435">
        <f t="shared" si="1"/>
        <v>311.28999999999996</v>
      </c>
      <c r="F24" s="435">
        <f t="shared" si="2"/>
        <v>102.72569999999999</v>
      </c>
      <c r="G24" s="435"/>
      <c r="H24" s="435"/>
      <c r="I24" s="437">
        <f t="shared" si="4"/>
        <v>414.01569999999992</v>
      </c>
      <c r="J24" s="438"/>
      <c r="M24" s="427"/>
      <c r="N24" s="427"/>
      <c r="O24" s="427"/>
      <c r="P24" s="427"/>
      <c r="Q24" s="427"/>
    </row>
    <row r="25" spans="1:17" x14ac:dyDescent="0.15">
      <c r="A25" s="458" t="s">
        <v>553</v>
      </c>
      <c r="B25" s="441" t="s">
        <v>146</v>
      </c>
      <c r="C25" s="435">
        <f t="shared" si="0"/>
        <v>44.47</v>
      </c>
      <c r="D25" s="441">
        <v>7.75</v>
      </c>
      <c r="E25" s="435">
        <f t="shared" si="1"/>
        <v>344.64249999999998</v>
      </c>
      <c r="F25" s="435">
        <f t="shared" si="2"/>
        <v>113.73202499999999</v>
      </c>
      <c r="G25" s="435"/>
      <c r="H25" s="435"/>
      <c r="I25" s="437">
        <f t="shared" si="4"/>
        <v>458.37452499999995</v>
      </c>
      <c r="J25" s="438"/>
      <c r="M25" s="427"/>
      <c r="N25" s="427"/>
      <c r="O25" s="427"/>
      <c r="P25" s="427"/>
      <c r="Q25" s="427"/>
    </row>
    <row r="26" spans="1:17" x14ac:dyDescent="0.15">
      <c r="A26" s="458" t="s">
        <v>555</v>
      </c>
      <c r="B26" s="441" t="s">
        <v>146</v>
      </c>
      <c r="C26" s="435">
        <f t="shared" si="0"/>
        <v>44.47</v>
      </c>
      <c r="D26" s="441">
        <v>4.5</v>
      </c>
      <c r="E26" s="435">
        <f t="shared" si="1"/>
        <v>200.11500000000001</v>
      </c>
      <c r="F26" s="435">
        <f t="shared" si="2"/>
        <v>66.037950000000009</v>
      </c>
      <c r="G26" s="435"/>
      <c r="H26" s="435"/>
      <c r="I26" s="437">
        <f t="shared" si="4"/>
        <v>266.15295000000003</v>
      </c>
      <c r="J26" s="438"/>
      <c r="M26" s="427"/>
      <c r="N26" s="427"/>
      <c r="O26" s="427"/>
      <c r="P26" s="427"/>
      <c r="Q26" s="427"/>
    </row>
    <row r="27" spans="1:17" x14ac:dyDescent="0.15">
      <c r="A27" s="458" t="s">
        <v>556</v>
      </c>
      <c r="B27" s="441" t="s">
        <v>146</v>
      </c>
      <c r="C27" s="435">
        <f t="shared" si="0"/>
        <v>44.47</v>
      </c>
      <c r="D27" s="441">
        <v>5.6</v>
      </c>
      <c r="E27" s="435">
        <f t="shared" si="1"/>
        <v>249.03199999999998</v>
      </c>
      <c r="F27" s="435">
        <f t="shared" si="2"/>
        <v>82.18056</v>
      </c>
      <c r="G27" s="435"/>
      <c r="H27" s="435"/>
      <c r="I27" s="437">
        <f t="shared" si="4"/>
        <v>331.21256</v>
      </c>
      <c r="J27" s="438"/>
      <c r="M27" s="427"/>
      <c r="N27" s="427"/>
      <c r="O27" s="427"/>
      <c r="P27" s="427"/>
      <c r="Q27" s="427"/>
    </row>
    <row r="28" spans="1:17" x14ac:dyDescent="0.15">
      <c r="A28" s="458" t="s">
        <v>557</v>
      </c>
      <c r="B28" s="441" t="s">
        <v>146</v>
      </c>
      <c r="C28" s="435">
        <f t="shared" si="0"/>
        <v>44.47</v>
      </c>
      <c r="D28" s="441">
        <v>6.75</v>
      </c>
      <c r="E28" s="435">
        <f t="shared" si="1"/>
        <v>300.17250000000001</v>
      </c>
      <c r="F28" s="435">
        <f t="shared" si="2"/>
        <v>99.056925000000007</v>
      </c>
      <c r="G28" s="435"/>
      <c r="H28" s="435"/>
      <c r="I28" s="437">
        <f t="shared" si="4"/>
        <v>399.22942499999999</v>
      </c>
      <c r="J28" s="438"/>
      <c r="M28" s="427"/>
      <c r="N28" s="427"/>
      <c r="O28" s="427"/>
      <c r="P28" s="427"/>
      <c r="Q28" s="427"/>
    </row>
    <row r="29" spans="1:17" x14ac:dyDescent="0.15">
      <c r="A29" s="458" t="s">
        <v>558</v>
      </c>
      <c r="B29" s="441" t="s">
        <v>146</v>
      </c>
      <c r="C29" s="435">
        <f t="shared" si="0"/>
        <v>44.47</v>
      </c>
      <c r="D29" s="441">
        <v>7.88</v>
      </c>
      <c r="E29" s="435">
        <f t="shared" si="1"/>
        <v>350.42359999999996</v>
      </c>
      <c r="F29" s="435">
        <f t="shared" si="2"/>
        <v>115.639788</v>
      </c>
      <c r="G29" s="435"/>
      <c r="H29" s="435"/>
      <c r="I29" s="437">
        <f t="shared" si="4"/>
        <v>466.06338799999997</v>
      </c>
      <c r="J29" s="438"/>
      <c r="M29" s="427"/>
      <c r="N29" s="427"/>
      <c r="O29" s="427"/>
      <c r="P29" s="427"/>
      <c r="Q29" s="427"/>
    </row>
    <row r="30" spans="1:17" x14ac:dyDescent="0.15">
      <c r="A30" s="458" t="s">
        <v>559</v>
      </c>
      <c r="B30" s="441" t="s">
        <v>146</v>
      </c>
      <c r="C30" s="435">
        <f t="shared" si="0"/>
        <v>44.47</v>
      </c>
      <c r="D30" s="441">
        <v>9</v>
      </c>
      <c r="E30" s="435">
        <f t="shared" si="1"/>
        <v>400.23</v>
      </c>
      <c r="F30" s="435">
        <f t="shared" si="2"/>
        <v>132.07590000000002</v>
      </c>
      <c r="G30" s="435"/>
      <c r="H30" s="435"/>
      <c r="I30" s="437">
        <f t="shared" si="4"/>
        <v>532.30590000000007</v>
      </c>
      <c r="J30" s="438"/>
      <c r="M30" s="427"/>
      <c r="N30" s="427"/>
      <c r="O30" s="427"/>
      <c r="P30" s="427"/>
      <c r="Q30" s="427"/>
    </row>
    <row r="31" spans="1:17" x14ac:dyDescent="0.15">
      <c r="A31" s="458" t="s">
        <v>563</v>
      </c>
      <c r="B31" s="441" t="s">
        <v>146</v>
      </c>
      <c r="C31" s="435">
        <f t="shared" si="0"/>
        <v>44.47</v>
      </c>
      <c r="D31" s="441">
        <v>0.75</v>
      </c>
      <c r="E31" s="435">
        <f t="shared" si="1"/>
        <v>33.352499999999999</v>
      </c>
      <c r="F31" s="435">
        <f t="shared" si="2"/>
        <v>11.006325</v>
      </c>
      <c r="G31" s="435"/>
      <c r="H31" s="435"/>
      <c r="I31" s="437">
        <f t="shared" si="4"/>
        <v>44.358824999999996</v>
      </c>
      <c r="J31" s="438"/>
      <c r="M31" s="427"/>
      <c r="N31" s="427"/>
      <c r="O31" s="427"/>
      <c r="P31" s="427"/>
      <c r="Q31" s="427"/>
    </row>
    <row r="32" spans="1:17" x14ac:dyDescent="0.15">
      <c r="A32" s="458" t="s">
        <v>561</v>
      </c>
      <c r="B32" s="441" t="s">
        <v>146</v>
      </c>
      <c r="C32" s="435">
        <f t="shared" si="0"/>
        <v>44.47</v>
      </c>
      <c r="D32" s="441">
        <v>0.92</v>
      </c>
      <c r="E32" s="435">
        <f t="shared" si="1"/>
        <v>40.912399999999998</v>
      </c>
      <c r="F32" s="435">
        <f t="shared" si="2"/>
        <v>13.501092</v>
      </c>
      <c r="G32" s="435"/>
      <c r="H32" s="435"/>
      <c r="I32" s="437">
        <f t="shared" si="4"/>
        <v>54.413491999999998</v>
      </c>
      <c r="J32" s="438"/>
      <c r="M32" s="427"/>
      <c r="N32" s="427"/>
      <c r="O32" s="427"/>
      <c r="P32" s="427"/>
      <c r="Q32" s="427"/>
    </row>
    <row r="33" spans="1:17" x14ac:dyDescent="0.15">
      <c r="A33" s="458" t="s">
        <v>562</v>
      </c>
      <c r="B33" s="441" t="s">
        <v>146</v>
      </c>
      <c r="C33" s="435">
        <f t="shared" si="0"/>
        <v>44.47</v>
      </c>
      <c r="D33" s="441">
        <v>1.1499999999999999</v>
      </c>
      <c r="E33" s="435">
        <f t="shared" si="1"/>
        <v>51.140499999999996</v>
      </c>
      <c r="F33" s="435">
        <f t="shared" si="2"/>
        <v>16.876365</v>
      </c>
      <c r="G33" s="435"/>
      <c r="H33" s="435"/>
      <c r="I33" s="437">
        <f t="shared" si="4"/>
        <v>68.016864999999996</v>
      </c>
      <c r="J33" s="438"/>
      <c r="K33" s="438"/>
      <c r="L33" s="438"/>
      <c r="M33" s="427"/>
      <c r="N33" s="427"/>
      <c r="O33" s="427"/>
      <c r="P33" s="427"/>
      <c r="Q33" s="427"/>
    </row>
    <row r="34" spans="1:17" x14ac:dyDescent="0.15">
      <c r="A34" s="458" t="s">
        <v>194</v>
      </c>
      <c r="B34" s="441" t="s">
        <v>146</v>
      </c>
      <c r="C34" s="435">
        <f t="shared" si="0"/>
        <v>44.47</v>
      </c>
      <c r="D34" s="441">
        <v>1.77</v>
      </c>
      <c r="E34" s="435">
        <f t="shared" si="1"/>
        <v>78.7119</v>
      </c>
      <c r="F34" s="435">
        <f t="shared" si="2"/>
        <v>25.974927000000001</v>
      </c>
      <c r="G34" s="435"/>
      <c r="H34" s="435"/>
      <c r="I34" s="437">
        <f t="shared" si="4"/>
        <v>104.68682699999999</v>
      </c>
      <c r="J34" s="438"/>
      <c r="K34" s="438"/>
      <c r="L34" s="438"/>
      <c r="M34" s="427"/>
      <c r="N34" s="427"/>
      <c r="O34" s="427"/>
      <c r="P34" s="427"/>
      <c r="Q34" s="427"/>
    </row>
    <row r="35" spans="1:17" x14ac:dyDescent="0.15">
      <c r="A35" s="458" t="s">
        <v>353</v>
      </c>
      <c r="B35" s="441" t="s">
        <v>146</v>
      </c>
      <c r="C35" s="435">
        <f t="shared" si="0"/>
        <v>44.47</v>
      </c>
      <c r="D35" s="441">
        <v>2.4</v>
      </c>
      <c r="E35" s="435">
        <f t="shared" si="1"/>
        <v>106.72799999999999</v>
      </c>
      <c r="F35" s="435">
        <f t="shared" si="2"/>
        <v>35.220239999999997</v>
      </c>
      <c r="G35" s="435"/>
      <c r="H35" s="435"/>
      <c r="I35" s="437">
        <f t="shared" si="4"/>
        <v>141.94824</v>
      </c>
      <c r="J35" s="438"/>
      <c r="K35" s="438"/>
      <c r="L35" s="438"/>
      <c r="M35" s="427"/>
      <c r="N35" s="427"/>
      <c r="O35" s="427"/>
      <c r="P35" s="440"/>
      <c r="Q35" s="431"/>
    </row>
    <row r="36" spans="1:17" x14ac:dyDescent="0.15">
      <c r="A36" s="458" t="s">
        <v>190</v>
      </c>
      <c r="B36" s="441" t="s">
        <v>146</v>
      </c>
      <c r="C36" s="435">
        <f t="shared" si="0"/>
        <v>44.47</v>
      </c>
      <c r="D36" s="441">
        <v>1.62</v>
      </c>
      <c r="E36" s="435">
        <f t="shared" si="1"/>
        <v>72.041399999999996</v>
      </c>
      <c r="F36" s="435">
        <f t="shared" si="2"/>
        <v>23.773661999999998</v>
      </c>
      <c r="G36" s="435"/>
      <c r="H36" s="435"/>
      <c r="I36" s="437">
        <f t="shared" si="4"/>
        <v>95.815061999999998</v>
      </c>
      <c r="J36" s="438"/>
      <c r="K36" s="438"/>
      <c r="L36" s="438"/>
      <c r="M36" s="427"/>
      <c r="N36" s="427"/>
      <c r="O36" s="427"/>
      <c r="P36" s="440"/>
      <c r="Q36" s="431"/>
    </row>
    <row r="37" spans="1:17" x14ac:dyDescent="0.15">
      <c r="A37" s="458" t="s">
        <v>191</v>
      </c>
      <c r="B37" s="441" t="s">
        <v>146</v>
      </c>
      <c r="C37" s="435">
        <f t="shared" si="0"/>
        <v>44.47</v>
      </c>
      <c r="D37" s="441">
        <v>2.0299999999999998</v>
      </c>
      <c r="E37" s="435">
        <f t="shared" si="1"/>
        <v>90.27409999999999</v>
      </c>
      <c r="F37" s="435">
        <f t="shared" si="2"/>
        <v>29.790452999999999</v>
      </c>
      <c r="G37" s="435"/>
      <c r="H37" s="435"/>
      <c r="I37" s="437">
        <f t="shared" si="4"/>
        <v>120.06455299999999</v>
      </c>
      <c r="J37" s="438"/>
      <c r="K37" s="438"/>
      <c r="L37" s="438"/>
      <c r="M37" s="427"/>
      <c r="N37" s="427"/>
      <c r="O37" s="427"/>
      <c r="P37" s="440"/>
      <c r="Q37" s="431"/>
    </row>
    <row r="38" spans="1:17" x14ac:dyDescent="0.15">
      <c r="A38" s="458" t="s">
        <v>195</v>
      </c>
      <c r="B38" s="441" t="s">
        <v>146</v>
      </c>
      <c r="C38" s="435">
        <f t="shared" si="0"/>
        <v>44.47</v>
      </c>
      <c r="D38" s="441">
        <v>2.2999999999999998</v>
      </c>
      <c r="E38" s="435">
        <f t="shared" si="1"/>
        <v>102.28099999999999</v>
      </c>
      <c r="F38" s="435">
        <f t="shared" si="2"/>
        <v>33.75273</v>
      </c>
      <c r="G38" s="435"/>
      <c r="H38" s="435"/>
      <c r="I38" s="437">
        <f t="shared" si="4"/>
        <v>136.03372999999999</v>
      </c>
      <c r="J38" s="438"/>
      <c r="K38" s="438"/>
    </row>
    <row r="39" spans="1:17" x14ac:dyDescent="0.15">
      <c r="A39" s="458" t="s">
        <v>352</v>
      </c>
      <c r="B39" s="441" t="s">
        <v>146</v>
      </c>
      <c r="C39" s="435">
        <f t="shared" si="0"/>
        <v>44.47</v>
      </c>
      <c r="D39" s="441">
        <v>2.63</v>
      </c>
      <c r="E39" s="435">
        <f t="shared" si="1"/>
        <v>116.95609999999999</v>
      </c>
      <c r="F39" s="435">
        <f t="shared" si="2"/>
        <v>38.595512999999997</v>
      </c>
      <c r="G39" s="435"/>
      <c r="H39" s="435"/>
      <c r="I39" s="437">
        <f t="shared" si="4"/>
        <v>155.55161299999997</v>
      </c>
      <c r="J39" s="438"/>
      <c r="K39" s="438"/>
    </row>
    <row r="40" spans="1:17" x14ac:dyDescent="0.15">
      <c r="A40" s="458" t="s">
        <v>192</v>
      </c>
      <c r="B40" s="441" t="s">
        <v>146</v>
      </c>
      <c r="C40" s="435">
        <f t="shared" si="0"/>
        <v>44.47</v>
      </c>
      <c r="D40" s="441">
        <v>0.4</v>
      </c>
      <c r="E40" s="435">
        <f t="shared" si="1"/>
        <v>17.788</v>
      </c>
      <c r="F40" s="435">
        <f t="shared" si="2"/>
        <v>5.8700400000000004</v>
      </c>
      <c r="G40" s="435">
        <f>$C$51</f>
        <v>12.19</v>
      </c>
      <c r="H40" s="435">
        <f>$D$51</f>
        <v>5.46</v>
      </c>
      <c r="I40" s="437">
        <f t="shared" si="4"/>
        <v>41.308039999999998</v>
      </c>
      <c r="J40" s="438"/>
      <c r="K40" s="438"/>
    </row>
    <row r="41" spans="1:17" x14ac:dyDescent="0.15">
      <c r="A41" s="458" t="s">
        <v>193</v>
      </c>
      <c r="B41" s="441" t="s">
        <v>146</v>
      </c>
      <c r="C41" s="435">
        <f t="shared" si="0"/>
        <v>44.47</v>
      </c>
      <c r="D41" s="441">
        <v>0.7</v>
      </c>
      <c r="E41" s="435">
        <f t="shared" si="1"/>
        <v>31.128999999999998</v>
      </c>
      <c r="F41" s="435">
        <f t="shared" si="2"/>
        <v>10.27257</v>
      </c>
      <c r="G41" s="435">
        <f t="shared" ref="G41:G43" si="5">$C$51</f>
        <v>12.19</v>
      </c>
      <c r="H41" s="435">
        <f t="shared" ref="H41:H43" si="6">$D$51</f>
        <v>5.46</v>
      </c>
      <c r="I41" s="437">
        <f t="shared" si="4"/>
        <v>59.051569999999998</v>
      </c>
      <c r="J41" s="438"/>
      <c r="K41" s="438"/>
    </row>
    <row r="42" spans="1:17" x14ac:dyDescent="0.15">
      <c r="A42" s="458" t="s">
        <v>196</v>
      </c>
      <c r="B42" s="441" t="s">
        <v>146</v>
      </c>
      <c r="C42" s="435">
        <f t="shared" si="0"/>
        <v>44.47</v>
      </c>
      <c r="D42" s="441">
        <v>0.9</v>
      </c>
      <c r="E42" s="435">
        <f t="shared" si="1"/>
        <v>40.023000000000003</v>
      </c>
      <c r="F42" s="435">
        <f t="shared" si="2"/>
        <v>13.207590000000001</v>
      </c>
      <c r="G42" s="435">
        <f t="shared" si="5"/>
        <v>12.19</v>
      </c>
      <c r="H42" s="435">
        <f t="shared" si="6"/>
        <v>5.46</v>
      </c>
      <c r="I42" s="437">
        <f t="shared" si="4"/>
        <v>70.880589999999998</v>
      </c>
      <c r="J42" s="438"/>
      <c r="K42" s="438"/>
    </row>
    <row r="43" spans="1:17" x14ac:dyDescent="0.15">
      <c r="A43" s="458" t="s">
        <v>351</v>
      </c>
      <c r="B43" s="441" t="s">
        <v>146</v>
      </c>
      <c r="C43" s="435">
        <f t="shared" si="0"/>
        <v>44.47</v>
      </c>
      <c r="D43" s="441">
        <v>1.2</v>
      </c>
      <c r="E43" s="435">
        <f t="shared" si="1"/>
        <v>53.363999999999997</v>
      </c>
      <c r="F43" s="435">
        <f t="shared" si="2"/>
        <v>17.610119999999998</v>
      </c>
      <c r="G43" s="435">
        <f t="shared" si="5"/>
        <v>12.19</v>
      </c>
      <c r="H43" s="435">
        <f t="shared" si="6"/>
        <v>5.46</v>
      </c>
      <c r="I43" s="437">
        <f t="shared" si="4"/>
        <v>88.624119999999991</v>
      </c>
      <c r="J43" s="438"/>
      <c r="K43" s="438"/>
    </row>
    <row r="44" spans="1:17" x14ac:dyDescent="0.15">
      <c r="A44" s="458" t="s">
        <v>174</v>
      </c>
      <c r="B44" s="441" t="s">
        <v>177</v>
      </c>
      <c r="C44" s="435">
        <f>+F51</f>
        <v>94.69</v>
      </c>
      <c r="D44" s="441">
        <v>1</v>
      </c>
      <c r="E44" s="435">
        <f t="shared" si="1"/>
        <v>94.69</v>
      </c>
      <c r="F44" s="435"/>
      <c r="G44" s="435"/>
      <c r="H44" s="435"/>
      <c r="I44" s="437">
        <f t="shared" si="4"/>
        <v>94.69</v>
      </c>
      <c r="J44" s="438"/>
      <c r="K44" s="438"/>
      <c r="L44" s="933"/>
    </row>
    <row r="45" spans="1:17" x14ac:dyDescent="0.15">
      <c r="A45" s="458" t="s">
        <v>175</v>
      </c>
      <c r="B45" s="441" t="s">
        <v>176</v>
      </c>
      <c r="C45" s="435">
        <f t="shared" si="0"/>
        <v>9.9700000000000006</v>
      </c>
      <c r="D45" s="441">
        <v>1</v>
      </c>
      <c r="E45" s="435">
        <f t="shared" si="1"/>
        <v>9.9700000000000006</v>
      </c>
      <c r="F45" s="435"/>
      <c r="G45" s="435"/>
      <c r="H45" s="435"/>
      <c r="I45" s="437">
        <f t="shared" si="4"/>
        <v>9.9700000000000006</v>
      </c>
      <c r="J45" s="438"/>
      <c r="K45" s="438"/>
    </row>
    <row r="46" spans="1:17" x14ac:dyDescent="0.15">
      <c r="A46" s="458" t="s">
        <v>181</v>
      </c>
      <c r="B46" s="441" t="s">
        <v>181</v>
      </c>
      <c r="C46" s="435">
        <f t="shared" si="0"/>
        <v>2.44</v>
      </c>
      <c r="D46" s="441">
        <v>1</v>
      </c>
      <c r="E46" s="435">
        <f t="shared" si="1"/>
        <v>2.44</v>
      </c>
      <c r="F46" s="435"/>
      <c r="G46" s="435"/>
      <c r="H46" s="435"/>
      <c r="I46" s="437">
        <f>SUM(E46:H46)</f>
        <v>2.44</v>
      </c>
      <c r="J46" s="438"/>
      <c r="K46" s="438"/>
    </row>
    <row r="47" spans="1:17" x14ac:dyDescent="0.15">
      <c r="A47" s="458" t="s">
        <v>179</v>
      </c>
      <c r="B47" s="441" t="s">
        <v>179</v>
      </c>
      <c r="C47" s="435">
        <f t="shared" si="0"/>
        <v>14.41</v>
      </c>
      <c r="D47" s="441">
        <v>1</v>
      </c>
      <c r="E47" s="435">
        <f t="shared" si="1"/>
        <v>14.41</v>
      </c>
      <c r="F47" s="435"/>
      <c r="G47" s="435"/>
      <c r="H47" s="435"/>
      <c r="I47" s="437">
        <f>SUM(E47:H47)</f>
        <v>14.41</v>
      </c>
      <c r="J47" s="438"/>
      <c r="K47" s="438"/>
    </row>
    <row r="48" spans="1:17" x14ac:dyDescent="0.15">
      <c r="A48" s="458" t="s">
        <v>571</v>
      </c>
      <c r="B48" s="441" t="s">
        <v>146</v>
      </c>
      <c r="C48" s="435">
        <f t="shared" si="0"/>
        <v>44.47</v>
      </c>
      <c r="D48" s="441">
        <v>3.4510000000000001</v>
      </c>
      <c r="E48" s="435">
        <f t="shared" si="1"/>
        <v>153.46597</v>
      </c>
      <c r="F48" s="435"/>
      <c r="G48" s="435"/>
      <c r="H48" s="435"/>
      <c r="I48" s="437">
        <f>SUM(E48:H48)</f>
        <v>153.46597</v>
      </c>
      <c r="J48" s="438"/>
      <c r="K48" s="438"/>
    </row>
    <row r="49" spans="1:17" x14ac:dyDescent="0.15">
      <c r="A49" s="432"/>
      <c r="B49" s="429"/>
      <c r="C49" s="433"/>
      <c r="D49" s="433"/>
      <c r="E49" s="433"/>
      <c r="F49" s="433"/>
      <c r="G49" s="433"/>
      <c r="H49" s="433"/>
      <c r="J49" s="438"/>
      <c r="K49" s="438"/>
    </row>
    <row r="50" spans="1:17" ht="15" thickBot="1" x14ac:dyDescent="0.2">
      <c r="A50" s="454" t="s">
        <v>148</v>
      </c>
      <c r="B50" s="454" t="s">
        <v>166</v>
      </c>
      <c r="C50" s="454" t="s">
        <v>1350</v>
      </c>
      <c r="D50" s="454" t="s">
        <v>1349</v>
      </c>
      <c r="E50" s="454" t="s">
        <v>181</v>
      </c>
      <c r="F50" s="454" t="s">
        <v>1412</v>
      </c>
      <c r="G50" s="454" t="s">
        <v>179</v>
      </c>
      <c r="H50" s="454" t="s">
        <v>211</v>
      </c>
      <c r="I50" s="454" t="s">
        <v>170</v>
      </c>
      <c r="J50" s="454" t="s">
        <v>147</v>
      </c>
      <c r="K50" s="454" t="s">
        <v>146</v>
      </c>
      <c r="L50" s="454" t="s">
        <v>149</v>
      </c>
      <c r="M50" s="454" t="s">
        <v>1304</v>
      </c>
      <c r="N50" s="454" t="s">
        <v>176</v>
      </c>
      <c r="P50" s="802"/>
    </row>
    <row r="51" spans="1:17" ht="14" thickBot="1" x14ac:dyDescent="0.2">
      <c r="A51" s="936">
        <v>0.33</v>
      </c>
      <c r="B51" s="914">
        <v>36</v>
      </c>
      <c r="C51" s="914">
        <v>12.19</v>
      </c>
      <c r="D51" s="914">
        <v>5.46</v>
      </c>
      <c r="E51" s="914">
        <v>2.44</v>
      </c>
      <c r="F51" s="1042">
        <v>94.69</v>
      </c>
      <c r="G51" s="914">
        <v>14.41</v>
      </c>
      <c r="H51" s="914">
        <v>5.16</v>
      </c>
      <c r="I51" s="914">
        <v>2.9</v>
      </c>
      <c r="J51" s="937">
        <v>40.74</v>
      </c>
      <c r="K51" s="937">
        <v>44.47</v>
      </c>
      <c r="L51" s="937">
        <v>30.8</v>
      </c>
      <c r="M51" s="937">
        <v>38.9</v>
      </c>
      <c r="N51" s="937">
        <v>9.9700000000000006</v>
      </c>
      <c r="O51" s="566"/>
      <c r="P51" s="564" t="s">
        <v>537</v>
      </c>
      <c r="Q51" s="563"/>
    </row>
    <row r="52" spans="1:17" x14ac:dyDescent="0.15">
      <c r="P52" s="802"/>
    </row>
    <row r="53" spans="1:17" x14ac:dyDescent="0.15">
      <c r="A53" s="453" t="s">
        <v>342</v>
      </c>
      <c r="B53" s="442">
        <v>0</v>
      </c>
      <c r="C53" s="446">
        <v>0</v>
      </c>
      <c r="D53" s="442" t="str">
        <f>""</f>
        <v/>
      </c>
      <c r="I53" s="450"/>
      <c r="J53" s="429"/>
      <c r="K53" s="429"/>
      <c r="L53" s="429"/>
      <c r="M53" s="429"/>
      <c r="N53" s="429"/>
      <c r="O53" s="429"/>
    </row>
    <row r="54" spans="1:17" x14ac:dyDescent="0.15">
      <c r="A54" s="453" t="s">
        <v>340</v>
      </c>
      <c r="B54" s="914">
        <v>63.6</v>
      </c>
      <c r="C54" s="447">
        <v>4</v>
      </c>
      <c r="D54" s="442" t="s">
        <v>546</v>
      </c>
      <c r="F54" s="801"/>
      <c r="I54" s="433"/>
      <c r="J54" s="449"/>
      <c r="K54" s="434"/>
      <c r="N54" s="451"/>
      <c r="O54" s="451"/>
    </row>
    <row r="55" spans="1:17" x14ac:dyDescent="0.15">
      <c r="A55" s="453" t="s">
        <v>341</v>
      </c>
      <c r="B55" s="914">
        <v>170</v>
      </c>
      <c r="C55" s="447">
        <v>5</v>
      </c>
      <c r="D55" s="442" t="s">
        <v>545</v>
      </c>
      <c r="J55" s="449"/>
      <c r="K55" s="434"/>
      <c r="N55" s="451"/>
      <c r="O55" s="451"/>
    </row>
    <row r="56" spans="1:17" x14ac:dyDescent="0.15">
      <c r="A56" s="453" t="s">
        <v>541</v>
      </c>
      <c r="B56" s="914">
        <v>1043</v>
      </c>
      <c r="C56" s="446">
        <v>8</v>
      </c>
      <c r="D56" s="442" t="s">
        <v>547</v>
      </c>
      <c r="J56" s="449"/>
      <c r="K56" s="434"/>
      <c r="N56" s="451"/>
      <c r="O56" s="451"/>
    </row>
    <row r="57" spans="1:17" x14ac:dyDescent="0.15">
      <c r="A57" s="453" t="s">
        <v>542</v>
      </c>
      <c r="B57" s="914">
        <v>398</v>
      </c>
      <c r="C57" s="447">
        <v>4</v>
      </c>
      <c r="D57" s="442" t="s">
        <v>544</v>
      </c>
      <c r="J57" s="449"/>
      <c r="K57" s="434"/>
      <c r="N57" s="451"/>
      <c r="O57" s="451"/>
    </row>
    <row r="58" spans="1:17" x14ac:dyDescent="0.15">
      <c r="A58" s="453" t="s">
        <v>543</v>
      </c>
      <c r="B58" s="914">
        <v>0</v>
      </c>
      <c r="C58" s="447">
        <v>0</v>
      </c>
      <c r="D58" s="442" t="s">
        <v>544</v>
      </c>
      <c r="G58" s="427">
        <v>2020</v>
      </c>
      <c r="H58" s="893" t="s">
        <v>1042</v>
      </c>
      <c r="I58" s="893" t="s">
        <v>1065</v>
      </c>
      <c r="J58" s="900">
        <v>44652</v>
      </c>
      <c r="K58" s="935" t="s">
        <v>1344</v>
      </c>
      <c r="L58" s="1043" t="s">
        <v>1438</v>
      </c>
    </row>
    <row r="59" spans="1:17" x14ac:dyDescent="0.15">
      <c r="A59" s="453" t="s">
        <v>567</v>
      </c>
      <c r="B59" s="914">
        <v>0</v>
      </c>
      <c r="C59" s="447">
        <v>0</v>
      </c>
      <c r="D59" s="442" t="s">
        <v>568</v>
      </c>
      <c r="F59" s="426" t="s">
        <v>1051</v>
      </c>
      <c r="G59" s="895" t="s">
        <v>1039</v>
      </c>
      <c r="H59" s="894">
        <v>24.52</v>
      </c>
      <c r="I59" s="894">
        <v>25.26</v>
      </c>
      <c r="J59" s="426">
        <v>35.36</v>
      </c>
      <c r="K59" s="934">
        <v>38.9</v>
      </c>
    </row>
    <row r="60" spans="1:17" x14ac:dyDescent="0.15">
      <c r="A60" s="453" t="s">
        <v>877</v>
      </c>
      <c r="B60" s="914">
        <v>257</v>
      </c>
      <c r="C60" s="447">
        <v>0</v>
      </c>
      <c r="D60" s="442" t="str">
        <f>""</f>
        <v/>
      </c>
      <c r="F60" s="426" t="s">
        <v>147</v>
      </c>
      <c r="G60" s="427" t="s">
        <v>1040</v>
      </c>
      <c r="H60" s="894">
        <v>25.69</v>
      </c>
      <c r="I60" s="894">
        <v>26.46</v>
      </c>
      <c r="J60" s="426">
        <v>37.04</v>
      </c>
      <c r="K60" s="934">
        <v>40.74</v>
      </c>
    </row>
    <row r="61" spans="1:17" x14ac:dyDescent="0.15">
      <c r="A61" s="453" t="s">
        <v>1048</v>
      </c>
      <c r="B61" s="914">
        <v>0</v>
      </c>
      <c r="C61" s="447">
        <v>0</v>
      </c>
      <c r="D61" s="442" t="s">
        <v>239</v>
      </c>
      <c r="F61" s="426" t="s">
        <v>146</v>
      </c>
      <c r="G61" s="427" t="s">
        <v>1041</v>
      </c>
      <c r="H61" s="894">
        <v>28.04</v>
      </c>
      <c r="I61" s="894">
        <v>28.88</v>
      </c>
      <c r="J61" s="426">
        <v>40.43</v>
      </c>
      <c r="K61" s="934">
        <v>44.47</v>
      </c>
    </row>
    <row r="62" spans="1:17" x14ac:dyDescent="0.15">
      <c r="A62" s="453" t="s">
        <v>1049</v>
      </c>
      <c r="B62" s="914">
        <v>0</v>
      </c>
      <c r="C62" s="447">
        <v>0</v>
      </c>
      <c r="D62" s="442" t="str">
        <f>""</f>
        <v/>
      </c>
      <c r="F62" s="426" t="s">
        <v>1064</v>
      </c>
      <c r="H62" s="894">
        <v>24.5</v>
      </c>
      <c r="I62" s="894">
        <v>25.24</v>
      </c>
      <c r="K62" s="934">
        <v>30.8</v>
      </c>
      <c r="M62" s="565"/>
    </row>
    <row r="63" spans="1:17" x14ac:dyDescent="0.15">
      <c r="A63" s="453" t="s">
        <v>1050</v>
      </c>
      <c r="B63" s="914">
        <v>0</v>
      </c>
      <c r="C63" s="447">
        <v>0</v>
      </c>
      <c r="D63" s="442" t="s">
        <v>663</v>
      </c>
    </row>
    <row r="64" spans="1:17" x14ac:dyDescent="0.15">
      <c r="A64" s="453" t="s">
        <v>878</v>
      </c>
      <c r="B64" s="914">
        <v>543</v>
      </c>
      <c r="C64" s="447">
        <v>0</v>
      </c>
      <c r="D64" s="442" t="s">
        <v>239</v>
      </c>
      <c r="I64" s="433"/>
      <c r="J64" s="449"/>
      <c r="K64" s="434"/>
      <c r="N64" s="451"/>
      <c r="O64" s="451"/>
    </row>
    <row r="65" spans="1:15" x14ac:dyDescent="0.15">
      <c r="A65" s="453" t="s">
        <v>668</v>
      </c>
      <c r="B65" s="914">
        <v>1590</v>
      </c>
      <c r="C65" s="447">
        <v>0</v>
      </c>
      <c r="D65" s="442" t="s">
        <v>667</v>
      </c>
      <c r="J65" s="449"/>
      <c r="K65" s="434"/>
      <c r="N65" s="451"/>
      <c r="O65" s="451"/>
    </row>
    <row r="66" spans="1:15" x14ac:dyDescent="0.15">
      <c r="A66" s="453" t="s">
        <v>669</v>
      </c>
      <c r="B66" s="914">
        <v>0</v>
      </c>
      <c r="C66" s="447">
        <v>1</v>
      </c>
      <c r="D66" s="442" t="s">
        <v>670</v>
      </c>
      <c r="J66" s="449"/>
      <c r="K66" s="434"/>
      <c r="N66" s="451"/>
      <c r="O66" s="451"/>
    </row>
    <row r="67" spans="1:15" x14ac:dyDescent="0.15">
      <c r="A67" s="453" t="s">
        <v>1366</v>
      </c>
      <c r="B67" s="914">
        <v>50</v>
      </c>
      <c r="C67" s="447">
        <v>1</v>
      </c>
      <c r="D67" s="442" t="s">
        <v>547</v>
      </c>
      <c r="J67" s="449"/>
      <c r="K67" s="434"/>
      <c r="N67" s="451"/>
      <c r="O67" s="451"/>
    </row>
    <row r="68" spans="1:15" x14ac:dyDescent="0.15">
      <c r="A68" s="453" t="s">
        <v>876</v>
      </c>
      <c r="B68" s="914">
        <v>449</v>
      </c>
      <c r="C68" s="447">
        <v>1</v>
      </c>
      <c r="D68" s="442" t="s">
        <v>671</v>
      </c>
    </row>
    <row r="69" spans="1:15" x14ac:dyDescent="0.15">
      <c r="A69" s="453" t="s">
        <v>672</v>
      </c>
      <c r="B69" s="914">
        <v>402</v>
      </c>
      <c r="C69" s="447">
        <v>1</v>
      </c>
      <c r="D69" s="442" t="s">
        <v>673</v>
      </c>
    </row>
    <row r="70" spans="1:15" x14ac:dyDescent="0.15">
      <c r="A70" s="453" t="s">
        <v>704</v>
      </c>
      <c r="B70" s="914">
        <v>288</v>
      </c>
      <c r="C70" s="447">
        <v>4</v>
      </c>
      <c r="D70" s="442" t="s">
        <v>513</v>
      </c>
    </row>
    <row r="71" spans="1:15" x14ac:dyDescent="0.15">
      <c r="A71" s="453" t="s">
        <v>1413</v>
      </c>
      <c r="B71" s="1041">
        <v>80</v>
      </c>
      <c r="C71" s="447">
        <v>1</v>
      </c>
      <c r="D71" s="442" t="s">
        <v>1414</v>
      </c>
    </row>
    <row r="72" spans="1:15" x14ac:dyDescent="0.15">
      <c r="A72" s="453"/>
      <c r="B72" s="442">
        <v>0</v>
      </c>
      <c r="C72" s="447">
        <v>0</v>
      </c>
      <c r="D72" s="442" t="str">
        <f>""</f>
        <v/>
      </c>
    </row>
    <row r="73" spans="1:15" x14ac:dyDescent="0.15">
      <c r="A73" s="453"/>
      <c r="B73" s="442">
        <v>0</v>
      </c>
      <c r="C73" s="447">
        <v>0</v>
      </c>
      <c r="D73" s="442" t="str">
        <f>""</f>
        <v/>
      </c>
    </row>
    <row r="81" spans="1:4" x14ac:dyDescent="0.15">
      <c r="A81" s="453" t="s">
        <v>588</v>
      </c>
      <c r="B81" s="898">
        <v>0</v>
      </c>
      <c r="C81" s="446">
        <v>0</v>
      </c>
      <c r="D81" s="1044" t="s">
        <v>1438</v>
      </c>
    </row>
    <row r="82" spans="1:4" x14ac:dyDescent="0.15">
      <c r="A82" s="453" t="str">
        <f>CC!D569</f>
        <v>CP1S</v>
      </c>
      <c r="B82" s="1045">
        <v>3957.74</v>
      </c>
      <c r="C82" s="446">
        <v>6</v>
      </c>
    </row>
    <row r="83" spans="1:4" x14ac:dyDescent="0.15">
      <c r="A83" s="453" t="str">
        <f>CC!D570</f>
        <v>CP2S</v>
      </c>
      <c r="B83" s="1045">
        <v>4249.6000000000004</v>
      </c>
      <c r="C83" s="446">
        <v>6</v>
      </c>
    </row>
    <row r="84" spans="1:4" x14ac:dyDescent="0.15">
      <c r="A84" s="453" t="str">
        <f>CC!D571</f>
        <v>CP3S</v>
      </c>
      <c r="B84" s="1045">
        <v>4541.45</v>
      </c>
      <c r="C84" s="446">
        <v>6</v>
      </c>
    </row>
    <row r="85" spans="1:4" x14ac:dyDescent="0.15">
      <c r="A85" s="453" t="str">
        <f>CC!D572</f>
        <v>CP4S</v>
      </c>
      <c r="B85" s="1045">
        <v>4611.6099999999997</v>
      </c>
      <c r="C85" s="446">
        <v>6</v>
      </c>
    </row>
    <row r="86" spans="1:4" x14ac:dyDescent="0.15">
      <c r="A86" s="789" t="s">
        <v>808</v>
      </c>
      <c r="B86" s="1043">
        <v>3640.4</v>
      </c>
    </row>
    <row r="87" spans="1:4" x14ac:dyDescent="0.15">
      <c r="A87" s="789" t="s">
        <v>809</v>
      </c>
      <c r="B87" s="1043">
        <v>3841.58</v>
      </c>
    </row>
    <row r="88" spans="1:4" x14ac:dyDescent="0.15">
      <c r="A88" s="789" t="s">
        <v>810</v>
      </c>
      <c r="B88" s="1043">
        <v>4077.12</v>
      </c>
    </row>
    <row r="89" spans="1:4" x14ac:dyDescent="0.15">
      <c r="A89" s="789" t="s">
        <v>811</v>
      </c>
      <c r="B89" s="1043">
        <v>4313.3900000000003</v>
      </c>
    </row>
  </sheetData>
  <dataValidations count="1">
    <dataValidation type="list" allowBlank="1" showInputMessage="1" showErrorMessage="1" sqref="B4:B48" xr:uid="{00000000-0002-0000-1300-000000000000}">
      <formula1>$A$50:$N$50</formula1>
    </dataValidation>
  </dataValidations>
  <pageMargins left="0.7" right="0.7" top="0.75" bottom="0.75" header="0.3" footer="0.3"/>
  <pageSetup paperSize="8" scale="66" orientation="landscape" r:id="rId1"/>
  <ignoredErrors>
    <ignoredError sqref="C4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B1:V48"/>
  <sheetViews>
    <sheetView zoomScale="90" zoomScaleNormal="90" workbookViewId="0">
      <selection activeCell="V5" sqref="V5"/>
    </sheetView>
  </sheetViews>
  <sheetFormatPr baseColWidth="10" defaultColWidth="8.83203125" defaultRowHeight="13" x14ac:dyDescent="0.15"/>
  <cols>
    <col min="2" max="2" width="14.83203125"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0"/>
    <col min="18" max="18" width="13.1640625" customWidth="1"/>
    <col min="20" max="20" width="9.1640625" style="500"/>
    <col min="21" max="21" width="5.6640625" customWidth="1"/>
    <col min="22" max="22" width="12.33203125" customWidth="1"/>
    <col min="23" max="23" width="11.5" customWidth="1"/>
  </cols>
  <sheetData>
    <row r="1" spans="2:22" ht="14" thickBot="1" x14ac:dyDescent="0.2"/>
    <row r="2" spans="2:22" ht="16" thickBot="1" x14ac:dyDescent="0.25">
      <c r="B2" s="1087" t="s">
        <v>691</v>
      </c>
      <c r="C2" s="1088"/>
      <c r="D2" s="1088"/>
      <c r="E2" s="1089"/>
      <c r="G2" s="567" t="s">
        <v>678</v>
      </c>
      <c r="H2" s="1087" t="str">
        <f>IF(CANOPY!G3="","",CANOPY!G3)</f>
        <v/>
      </c>
      <c r="I2" s="1088"/>
      <c r="J2" s="1088"/>
      <c r="K2" s="1088"/>
      <c r="L2" s="1089"/>
      <c r="M2" s="568" t="s">
        <v>679</v>
      </c>
      <c r="N2" s="1087" t="str">
        <f>IF(CANOPY!C3="","",CANOPY!C3)</f>
        <v/>
      </c>
      <c r="O2" s="1089"/>
      <c r="Q2" s="501"/>
      <c r="R2" s="554" t="s">
        <v>14</v>
      </c>
      <c r="T2" s="963" t="s">
        <v>1386</v>
      </c>
      <c r="U2" s="964"/>
      <c r="V2" s="965"/>
    </row>
    <row r="3" spans="2:22" ht="14" thickBot="1" x14ac:dyDescent="0.2">
      <c r="B3" s="1090" t="s">
        <v>850</v>
      </c>
      <c r="C3" s="1090"/>
      <c r="D3" s="1090"/>
      <c r="E3" s="1090"/>
      <c r="F3" s="1090"/>
      <c r="G3" s="1090"/>
      <c r="H3" s="1090"/>
      <c r="I3" s="1090"/>
      <c r="J3" s="1090"/>
      <c r="K3" s="1090"/>
      <c r="L3" s="1090"/>
      <c r="M3" s="1090"/>
      <c r="N3" s="1090"/>
      <c r="O3" s="1090"/>
      <c r="R3" s="555">
        <f>R25+R48</f>
        <v>0</v>
      </c>
      <c r="T3" s="594" t="s">
        <v>731</v>
      </c>
      <c r="U3" s="594" t="s">
        <v>537</v>
      </c>
      <c r="V3" s="393"/>
    </row>
    <row r="4" spans="2:22" ht="14" thickBot="1" x14ac:dyDescent="0.2">
      <c r="T4" s="617">
        <v>2017</v>
      </c>
      <c r="U4" s="618">
        <v>0.03</v>
      </c>
      <c r="V4" s="619" t="s">
        <v>758</v>
      </c>
    </row>
    <row r="5" spans="2:22" ht="15" x14ac:dyDescent="0.2">
      <c r="C5" s="502" t="s">
        <v>77</v>
      </c>
      <c r="D5" s="503" t="s">
        <v>680</v>
      </c>
      <c r="E5" s="503" t="s">
        <v>77</v>
      </c>
      <c r="F5" s="503" t="s">
        <v>680</v>
      </c>
      <c r="G5" s="503" t="s">
        <v>77</v>
      </c>
      <c r="H5" s="503" t="s">
        <v>680</v>
      </c>
      <c r="I5" s="503" t="s">
        <v>77</v>
      </c>
      <c r="J5" s="503" t="s">
        <v>680</v>
      </c>
      <c r="K5" s="503" t="s">
        <v>77</v>
      </c>
      <c r="L5" s="503" t="s">
        <v>680</v>
      </c>
      <c r="M5" s="503" t="s">
        <v>77</v>
      </c>
      <c r="N5" s="503" t="s">
        <v>680</v>
      </c>
      <c r="O5" s="503"/>
      <c r="P5" s="503"/>
      <c r="Q5" s="504"/>
      <c r="R5" s="505" t="s">
        <v>87</v>
      </c>
      <c r="T5" s="939">
        <v>2024</v>
      </c>
      <c r="U5" s="940">
        <v>0.4</v>
      </c>
      <c r="V5" s="966">
        <f>R3*U5+R3</f>
        <v>0</v>
      </c>
    </row>
    <row r="6" spans="2:22" ht="16" thickBot="1" x14ac:dyDescent="0.25">
      <c r="C6" s="506" t="s">
        <v>853</v>
      </c>
      <c r="D6" s="507"/>
      <c r="E6" s="508" t="s">
        <v>854</v>
      </c>
      <c r="F6" s="507"/>
      <c r="G6" s="509" t="s">
        <v>855</v>
      </c>
      <c r="H6" s="507"/>
      <c r="I6" s="508" t="s">
        <v>856</v>
      </c>
      <c r="J6" s="507"/>
      <c r="K6" s="509" t="s">
        <v>857</v>
      </c>
      <c r="L6" s="507"/>
      <c r="M6" s="508" t="s">
        <v>858</v>
      </c>
      <c r="N6" s="507"/>
      <c r="O6" s="510"/>
      <c r="P6" s="507"/>
      <c r="Q6" s="511"/>
      <c r="R6" s="512"/>
    </row>
    <row r="7" spans="2:22" ht="15" x14ac:dyDescent="0.2">
      <c r="B7" s="513" t="s">
        <v>865</v>
      </c>
      <c r="C7" s="846">
        <v>2.12</v>
      </c>
      <c r="D7" s="847"/>
      <c r="E7" s="848">
        <v>2.35</v>
      </c>
      <c r="F7" s="849"/>
      <c r="G7" s="850">
        <v>2.35</v>
      </c>
      <c r="H7" s="847"/>
      <c r="I7" s="851">
        <v>2.78</v>
      </c>
      <c r="J7" s="849"/>
      <c r="K7" s="850">
        <v>3.99</v>
      </c>
      <c r="L7" s="847"/>
      <c r="M7" s="851">
        <v>6.08</v>
      </c>
      <c r="N7" s="517"/>
      <c r="O7" s="520"/>
      <c r="P7" s="622"/>
      <c r="Q7" s="504"/>
      <c r="R7" s="521">
        <f>SUM(C7*D7+E7*F7+G7*H7+I7*J7+K7*L7+M7*+N7+O7*P7)</f>
        <v>0</v>
      </c>
    </row>
    <row r="8" spans="2:22" ht="15" x14ac:dyDescent="0.2">
      <c r="B8" s="522" t="s">
        <v>864</v>
      </c>
      <c r="C8" s="852">
        <v>21.79</v>
      </c>
      <c r="D8" s="800"/>
      <c r="E8" s="853">
        <v>27.25</v>
      </c>
      <c r="F8" s="854"/>
      <c r="G8" s="620">
        <v>34.299999999999997</v>
      </c>
      <c r="H8" s="800"/>
      <c r="I8" s="855">
        <v>51.18</v>
      </c>
      <c r="J8" s="854"/>
      <c r="K8" s="620">
        <v>63.69</v>
      </c>
      <c r="L8" s="800"/>
      <c r="M8" s="855">
        <v>80.05</v>
      </c>
      <c r="N8" s="526"/>
      <c r="O8" s="529"/>
      <c r="P8" s="534"/>
      <c r="Q8" s="530"/>
      <c r="R8" s="531">
        <f t="shared" ref="R8:R22" si="0">SUM(C8*D8+E8*F8+G8*H8+I8*J8+K8*L8+M8*+N8+O8*P8)</f>
        <v>0</v>
      </c>
    </row>
    <row r="9" spans="2:22" ht="15" x14ac:dyDescent="0.2">
      <c r="B9" s="522" t="s">
        <v>684</v>
      </c>
      <c r="C9" s="852">
        <v>8.51</v>
      </c>
      <c r="D9" s="800"/>
      <c r="E9" s="853">
        <v>10.050000000000001</v>
      </c>
      <c r="F9" s="854"/>
      <c r="G9" s="620">
        <v>14.75</v>
      </c>
      <c r="H9" s="800"/>
      <c r="I9" s="855">
        <v>20.63</v>
      </c>
      <c r="J9" s="854"/>
      <c r="K9" s="620">
        <v>30.79</v>
      </c>
      <c r="L9" s="800"/>
      <c r="M9" s="855">
        <v>33.47</v>
      </c>
      <c r="N9" s="526"/>
      <c r="O9" s="529"/>
      <c r="P9" s="534"/>
      <c r="Q9" s="530"/>
      <c r="R9" s="531">
        <f t="shared" si="0"/>
        <v>0</v>
      </c>
    </row>
    <row r="10" spans="2:22" ht="15" x14ac:dyDescent="0.2">
      <c r="B10" s="522" t="s">
        <v>682</v>
      </c>
      <c r="C10" s="852">
        <v>6.4</v>
      </c>
      <c r="D10" s="800"/>
      <c r="E10" s="853">
        <v>7.48</v>
      </c>
      <c r="F10" s="854"/>
      <c r="G10" s="620">
        <v>10.79</v>
      </c>
      <c r="H10" s="800"/>
      <c r="I10" s="855">
        <v>14.74</v>
      </c>
      <c r="J10" s="854"/>
      <c r="K10" s="620">
        <v>22.09</v>
      </c>
      <c r="L10" s="800"/>
      <c r="M10" s="855">
        <v>25.74</v>
      </c>
      <c r="N10" s="526"/>
      <c r="O10" s="529"/>
      <c r="P10" s="534"/>
      <c r="Q10" s="530"/>
      <c r="R10" s="531">
        <f t="shared" si="0"/>
        <v>0</v>
      </c>
    </row>
    <row r="11" spans="2:22" ht="15" x14ac:dyDescent="0.2">
      <c r="B11" s="522" t="s">
        <v>866</v>
      </c>
      <c r="C11" s="523">
        <v>15.52</v>
      </c>
      <c r="D11" s="524"/>
      <c r="E11" s="525">
        <v>17.190000000000001</v>
      </c>
      <c r="F11" s="526"/>
      <c r="G11" s="527">
        <v>21.51</v>
      </c>
      <c r="H11" s="524"/>
      <c r="I11" s="528">
        <v>28.04</v>
      </c>
      <c r="J11" s="526"/>
      <c r="K11" s="527">
        <v>35.380000000000003</v>
      </c>
      <c r="L11" s="524"/>
      <c r="M11" s="528">
        <v>47.48</v>
      </c>
      <c r="N11" s="526"/>
      <c r="O11" s="529"/>
      <c r="P11" s="534"/>
      <c r="Q11" s="530"/>
      <c r="R11" s="531">
        <f t="shared" si="0"/>
        <v>0</v>
      </c>
    </row>
    <row r="12" spans="2:22" ht="15" x14ac:dyDescent="0.2">
      <c r="B12" s="522" t="s">
        <v>765</v>
      </c>
      <c r="C12" s="523">
        <v>2.66</v>
      </c>
      <c r="D12" s="524"/>
      <c r="E12" s="525">
        <v>2.66</v>
      </c>
      <c r="F12" s="526"/>
      <c r="G12" s="527">
        <v>3.94</v>
      </c>
      <c r="H12" s="524"/>
      <c r="I12" s="528">
        <v>5.37</v>
      </c>
      <c r="J12" s="526"/>
      <c r="K12" s="527">
        <v>6.4</v>
      </c>
      <c r="L12" s="524"/>
      <c r="M12" s="528">
        <v>8</v>
      </c>
      <c r="N12" s="526"/>
      <c r="O12" s="529"/>
      <c r="P12" s="534"/>
      <c r="Q12" s="530"/>
      <c r="R12" s="531">
        <f t="shared" si="0"/>
        <v>0</v>
      </c>
    </row>
    <row r="13" spans="2:22" ht="15" x14ac:dyDescent="0.2">
      <c r="B13" s="522" t="s">
        <v>867</v>
      </c>
      <c r="C13" s="523">
        <v>4.32</v>
      </c>
      <c r="D13" s="524"/>
      <c r="E13" s="525">
        <v>4.4400000000000004</v>
      </c>
      <c r="F13" s="526"/>
      <c r="G13" s="527">
        <v>4.5</v>
      </c>
      <c r="H13" s="524"/>
      <c r="I13" s="528">
        <v>8.02</v>
      </c>
      <c r="J13" s="526"/>
      <c r="K13" s="527">
        <v>11.35</v>
      </c>
      <c r="L13" s="524"/>
      <c r="M13" s="528">
        <v>16.649999999999999</v>
      </c>
      <c r="N13" s="526"/>
      <c r="O13" s="529"/>
      <c r="P13" s="534"/>
      <c r="Q13" s="530"/>
      <c r="R13" s="531">
        <f t="shared" si="0"/>
        <v>0</v>
      </c>
    </row>
    <row r="14" spans="2:22" ht="15" x14ac:dyDescent="0.2">
      <c r="B14" s="522" t="s">
        <v>868</v>
      </c>
      <c r="C14" s="523">
        <v>6.41</v>
      </c>
      <c r="D14" s="524"/>
      <c r="E14" s="525">
        <v>7.5</v>
      </c>
      <c r="F14" s="526"/>
      <c r="G14" s="527">
        <v>7.5</v>
      </c>
      <c r="H14" s="524"/>
      <c r="I14" s="528">
        <v>8.2200000000000006</v>
      </c>
      <c r="J14" s="526"/>
      <c r="K14" s="527">
        <v>10.72</v>
      </c>
      <c r="L14" s="524"/>
      <c r="M14" s="528">
        <v>13.21</v>
      </c>
      <c r="N14" s="526"/>
      <c r="O14" s="529"/>
      <c r="P14" s="534"/>
      <c r="Q14" s="530"/>
      <c r="R14" s="531">
        <f t="shared" si="0"/>
        <v>0</v>
      </c>
    </row>
    <row r="15" spans="2:22" ht="15" x14ac:dyDescent="0.2">
      <c r="B15" s="522" t="s">
        <v>39</v>
      </c>
      <c r="C15" s="523">
        <v>19.989999999999998</v>
      </c>
      <c r="D15" s="524"/>
      <c r="E15" s="525">
        <v>21.1</v>
      </c>
      <c r="F15" s="526"/>
      <c r="G15" s="527">
        <v>23.94</v>
      </c>
      <c r="H15" s="524"/>
      <c r="I15" s="528">
        <v>25.41</v>
      </c>
      <c r="J15" s="526"/>
      <c r="K15" s="527">
        <v>29.86</v>
      </c>
      <c r="L15" s="524"/>
      <c r="M15" s="528">
        <v>34.67</v>
      </c>
      <c r="N15" s="526"/>
      <c r="O15" s="529"/>
      <c r="P15" s="534"/>
      <c r="Q15" s="530"/>
      <c r="R15" s="531">
        <f t="shared" si="0"/>
        <v>0</v>
      </c>
    </row>
    <row r="16" spans="2:22" ht="15" x14ac:dyDescent="0.2">
      <c r="B16" s="522" t="s">
        <v>975</v>
      </c>
      <c r="C16" s="523">
        <v>54.19</v>
      </c>
      <c r="D16" s="524"/>
      <c r="E16" s="525">
        <v>63.22</v>
      </c>
      <c r="F16" s="526"/>
      <c r="G16" s="527">
        <v>69.44</v>
      </c>
      <c r="H16" s="524"/>
      <c r="I16" s="528">
        <v>94.74</v>
      </c>
      <c r="J16" s="526"/>
      <c r="K16" s="527">
        <v>106.65</v>
      </c>
      <c r="L16" s="524"/>
      <c r="M16" s="528">
        <v>169.29</v>
      </c>
      <c r="N16" s="526"/>
      <c r="O16" s="529"/>
      <c r="P16" s="534"/>
      <c r="Q16" s="530"/>
      <c r="R16" s="531">
        <f t="shared" si="0"/>
        <v>0</v>
      </c>
    </row>
    <row r="17" spans="2:18" ht="15" x14ac:dyDescent="0.2">
      <c r="B17" s="522" t="s">
        <v>869</v>
      </c>
      <c r="C17" s="523">
        <v>0</v>
      </c>
      <c r="D17" s="524"/>
      <c r="E17" s="525">
        <v>10.220000000000001</v>
      </c>
      <c r="F17" s="526"/>
      <c r="G17" s="527">
        <v>12.82</v>
      </c>
      <c r="H17" s="524"/>
      <c r="I17" s="528">
        <v>17.850000000000001</v>
      </c>
      <c r="J17" s="526"/>
      <c r="K17" s="527">
        <v>20.12</v>
      </c>
      <c r="L17" s="524"/>
      <c r="M17" s="528">
        <v>32.24</v>
      </c>
      <c r="N17" s="526"/>
      <c r="O17" s="529"/>
      <c r="P17" s="534"/>
      <c r="Q17" s="530"/>
      <c r="R17" s="531">
        <f t="shared" si="0"/>
        <v>0</v>
      </c>
    </row>
    <row r="18" spans="2:18" ht="15" x14ac:dyDescent="0.2">
      <c r="B18" s="522" t="s">
        <v>870</v>
      </c>
      <c r="C18" s="523">
        <v>5.55</v>
      </c>
      <c r="D18" s="524"/>
      <c r="E18" s="525">
        <v>6.79</v>
      </c>
      <c r="F18" s="526"/>
      <c r="G18" s="527">
        <v>10.119999999999999</v>
      </c>
      <c r="H18" s="524"/>
      <c r="I18" s="528">
        <v>11.49</v>
      </c>
      <c r="J18" s="526"/>
      <c r="K18" s="527">
        <v>17.91</v>
      </c>
      <c r="L18" s="524"/>
      <c r="M18" s="528">
        <v>27.8</v>
      </c>
      <c r="N18" s="526"/>
      <c r="O18" s="529"/>
      <c r="P18" s="534"/>
      <c r="Q18" s="530"/>
      <c r="R18" s="531">
        <f t="shared" si="0"/>
        <v>0</v>
      </c>
    </row>
    <row r="19" spans="2:18" ht="15" x14ac:dyDescent="0.2">
      <c r="B19" s="522" t="s">
        <v>973</v>
      </c>
      <c r="C19" s="523">
        <v>34.159999999999997</v>
      </c>
      <c r="D19" s="524"/>
      <c r="E19" s="525">
        <v>42.15</v>
      </c>
      <c r="F19" s="526"/>
      <c r="G19" s="527">
        <v>49.24</v>
      </c>
      <c r="H19" s="524"/>
      <c r="I19" s="528">
        <v>69.22</v>
      </c>
      <c r="J19" s="526"/>
      <c r="K19" s="527">
        <v>88.27</v>
      </c>
      <c r="L19" s="524"/>
      <c r="M19" s="528">
        <v>120.21</v>
      </c>
      <c r="N19" s="526"/>
      <c r="O19" s="529"/>
      <c r="P19" s="534"/>
      <c r="Q19" s="530"/>
      <c r="R19" s="531">
        <f t="shared" si="0"/>
        <v>0</v>
      </c>
    </row>
    <row r="20" spans="2:18" ht="15" x14ac:dyDescent="0.2">
      <c r="B20" s="522" t="s">
        <v>974</v>
      </c>
      <c r="C20" s="523">
        <v>97.16</v>
      </c>
      <c r="D20" s="524"/>
      <c r="E20" s="525">
        <v>97.16</v>
      </c>
      <c r="F20" s="526"/>
      <c r="G20" s="527">
        <v>103.38</v>
      </c>
      <c r="H20" s="524"/>
      <c r="I20" s="528">
        <v>155.71</v>
      </c>
      <c r="J20" s="526"/>
      <c r="K20" s="527">
        <v>188.99</v>
      </c>
      <c r="L20" s="524"/>
      <c r="M20" s="528">
        <v>260.39999999999998</v>
      </c>
      <c r="N20" s="526"/>
      <c r="O20" s="529"/>
      <c r="P20" s="534"/>
      <c r="Q20" s="530"/>
      <c r="R20" s="531">
        <f t="shared" si="0"/>
        <v>0</v>
      </c>
    </row>
    <row r="21" spans="2:18" ht="15" x14ac:dyDescent="0.2">
      <c r="B21" s="522" t="s">
        <v>771</v>
      </c>
      <c r="C21" s="523">
        <v>12.6</v>
      </c>
      <c r="D21" s="524"/>
      <c r="E21" s="525">
        <v>12.6</v>
      </c>
      <c r="F21" s="526"/>
      <c r="G21" s="527">
        <v>14.49</v>
      </c>
      <c r="H21" s="524"/>
      <c r="I21" s="528">
        <v>14.49</v>
      </c>
      <c r="J21" s="526"/>
      <c r="K21" s="527">
        <v>14.49</v>
      </c>
      <c r="L21" s="524"/>
      <c r="M21" s="528">
        <v>14.49</v>
      </c>
      <c r="N21" s="526"/>
      <c r="O21" s="529"/>
      <c r="P21" s="534"/>
      <c r="Q21" s="530"/>
      <c r="R21" s="531">
        <f t="shared" si="0"/>
        <v>0</v>
      </c>
    </row>
    <row r="22" spans="2:18" ht="15" x14ac:dyDescent="0.2">
      <c r="B22" s="522"/>
      <c r="C22" s="523"/>
      <c r="D22" s="524"/>
      <c r="E22" s="525"/>
      <c r="F22" s="526"/>
      <c r="G22" s="527"/>
      <c r="H22" s="524"/>
      <c r="I22" s="528"/>
      <c r="J22" s="526"/>
      <c r="K22" s="527"/>
      <c r="L22" s="524"/>
      <c r="M22" s="528"/>
      <c r="N22" s="526"/>
      <c r="O22" s="529"/>
      <c r="P22" s="534"/>
      <c r="Q22" s="530"/>
      <c r="R22" s="531">
        <f t="shared" si="0"/>
        <v>0</v>
      </c>
    </row>
    <row r="23" spans="2:18" ht="15" x14ac:dyDescent="0.2">
      <c r="B23" s="532"/>
      <c r="C23" s="533"/>
      <c r="D23" s="534"/>
      <c r="E23" s="534"/>
      <c r="F23" s="534"/>
      <c r="G23" s="534"/>
      <c r="H23" s="534"/>
      <c r="I23" s="534"/>
      <c r="J23" s="534"/>
      <c r="K23" s="534"/>
      <c r="L23" s="534"/>
      <c r="M23" s="534"/>
      <c r="N23" s="534"/>
      <c r="O23" s="529"/>
      <c r="P23" s="534"/>
      <c r="Q23" s="623" t="s">
        <v>799</v>
      </c>
      <c r="R23" s="531">
        <f>SUM(R7:R22)</f>
        <v>0</v>
      </c>
    </row>
    <row r="24" spans="2:18" ht="15" x14ac:dyDescent="0.2">
      <c r="B24" s="535"/>
      <c r="C24" s="536"/>
      <c r="D24" s="537"/>
      <c r="E24" s="537"/>
      <c r="F24" s="537"/>
      <c r="G24" s="537"/>
      <c r="H24" s="537"/>
      <c r="I24" s="537"/>
      <c r="J24" s="537"/>
      <c r="K24" s="537"/>
      <c r="L24" s="537"/>
      <c r="M24" s="537"/>
      <c r="N24" s="537"/>
      <c r="O24" s="538"/>
      <c r="P24" s="537"/>
      <c r="Q24" s="539">
        <v>0.15</v>
      </c>
      <c r="R24" s="540">
        <f>SUM(R23*0.15)</f>
        <v>0</v>
      </c>
    </row>
    <row r="25" spans="2:18" ht="16" thickBot="1" x14ac:dyDescent="0.25">
      <c r="B25" s="541"/>
      <c r="C25" s="542"/>
      <c r="D25" s="543"/>
      <c r="E25" s="543"/>
      <c r="F25" s="543"/>
      <c r="G25" s="543"/>
      <c r="H25" s="543"/>
      <c r="I25" s="543"/>
      <c r="J25" s="543"/>
      <c r="K25" s="543"/>
      <c r="L25" s="543"/>
      <c r="M25" s="543"/>
      <c r="N25" s="543"/>
      <c r="O25" s="544"/>
      <c r="P25" s="543"/>
      <c r="Q25" s="545" t="s">
        <v>14</v>
      </c>
      <c r="R25" s="546">
        <f>SUM(R23+R24)</f>
        <v>0</v>
      </c>
    </row>
    <row r="27" spans="2:18" ht="14" thickBot="1" x14ac:dyDescent="0.2"/>
    <row r="28" spans="2:18" ht="15" x14ac:dyDescent="0.2">
      <c r="C28" s="502" t="s">
        <v>77</v>
      </c>
      <c r="D28" s="503" t="s">
        <v>680</v>
      </c>
      <c r="E28" s="503" t="s">
        <v>77</v>
      </c>
      <c r="F28" s="503" t="s">
        <v>680</v>
      </c>
      <c r="G28" s="503" t="s">
        <v>77</v>
      </c>
      <c r="H28" s="503" t="s">
        <v>680</v>
      </c>
      <c r="I28" s="503" t="s">
        <v>77</v>
      </c>
      <c r="J28" s="503" t="s">
        <v>680</v>
      </c>
      <c r="K28" s="503" t="s">
        <v>77</v>
      </c>
      <c r="L28" s="503" t="s">
        <v>680</v>
      </c>
      <c r="M28" s="503" t="s">
        <v>77</v>
      </c>
      <c r="N28" s="547" t="s">
        <v>680</v>
      </c>
      <c r="O28" s="503"/>
      <c r="P28" s="503"/>
      <c r="Q28" s="504"/>
      <c r="R28" s="505" t="s">
        <v>87</v>
      </c>
    </row>
    <row r="29" spans="2:18" ht="16" thickBot="1" x14ac:dyDescent="0.25">
      <c r="C29" s="506" t="s">
        <v>859</v>
      </c>
      <c r="D29" s="507"/>
      <c r="E29" s="508" t="s">
        <v>860</v>
      </c>
      <c r="F29" s="507"/>
      <c r="G29" s="509" t="s">
        <v>861</v>
      </c>
      <c r="H29" s="507"/>
      <c r="I29" s="508" t="s">
        <v>862</v>
      </c>
      <c r="J29" s="507"/>
      <c r="K29" s="509" t="s">
        <v>863</v>
      </c>
      <c r="L29" s="507"/>
      <c r="M29" s="508" t="s">
        <v>976</v>
      </c>
      <c r="N29" s="548"/>
      <c r="O29" s="510"/>
      <c r="P29" s="507"/>
      <c r="Q29" s="511"/>
      <c r="R29" s="512"/>
    </row>
    <row r="30" spans="2:18" ht="15" x14ac:dyDescent="0.2">
      <c r="B30" s="513" t="s">
        <v>865</v>
      </c>
      <c r="C30" s="514">
        <v>6.26</v>
      </c>
      <c r="D30" s="515"/>
      <c r="E30" s="516">
        <v>7.96</v>
      </c>
      <c r="F30" s="517"/>
      <c r="G30" s="518">
        <v>7.96</v>
      </c>
      <c r="H30" s="515"/>
      <c r="I30" s="519">
        <v>9.99</v>
      </c>
      <c r="J30" s="517"/>
      <c r="K30" s="518">
        <v>11.84</v>
      </c>
      <c r="L30" s="515"/>
      <c r="M30" s="519">
        <v>11.84</v>
      </c>
      <c r="N30" s="517"/>
      <c r="O30" s="520"/>
      <c r="P30" s="622"/>
      <c r="Q30" s="504"/>
      <c r="R30" s="521">
        <f t="shared" ref="R30:R45" si="1">SUM(C30*D30+E30*F30+G30*H30+I30*J30+K30*L30+M30*+N30+O30*P30)</f>
        <v>0</v>
      </c>
    </row>
    <row r="31" spans="2:18" ht="15" x14ac:dyDescent="0.2">
      <c r="B31" s="522" t="s">
        <v>864</v>
      </c>
      <c r="C31" s="523">
        <v>119.78</v>
      </c>
      <c r="D31" s="524"/>
      <c r="E31" s="525">
        <v>135.01</v>
      </c>
      <c r="F31" s="526"/>
      <c r="G31" s="527">
        <v>152.41999999999999</v>
      </c>
      <c r="H31" s="524"/>
      <c r="I31" s="528">
        <v>169.29</v>
      </c>
      <c r="J31" s="526"/>
      <c r="K31" s="527">
        <v>189.44</v>
      </c>
      <c r="L31" s="524"/>
      <c r="M31" s="528">
        <v>213.37</v>
      </c>
      <c r="N31" s="526"/>
      <c r="O31" s="529"/>
      <c r="P31" s="534"/>
      <c r="Q31" s="530"/>
      <c r="R31" s="531">
        <f t="shared" si="1"/>
        <v>0</v>
      </c>
    </row>
    <row r="32" spans="2:18" ht="15" x14ac:dyDescent="0.2">
      <c r="B32" s="522" t="s">
        <v>684</v>
      </c>
      <c r="C32" s="523">
        <v>40.01</v>
      </c>
      <c r="D32" s="524"/>
      <c r="E32" s="525">
        <v>49.85</v>
      </c>
      <c r="F32" s="526"/>
      <c r="G32" s="527">
        <v>55.33</v>
      </c>
      <c r="H32" s="524"/>
      <c r="I32" s="528">
        <v>70.64</v>
      </c>
      <c r="J32" s="526"/>
      <c r="K32" s="527">
        <v>79.92</v>
      </c>
      <c r="L32" s="524"/>
      <c r="M32" s="528">
        <v>127.04</v>
      </c>
      <c r="N32" s="526"/>
      <c r="O32" s="529"/>
      <c r="P32" s="534"/>
      <c r="Q32" s="530"/>
      <c r="R32" s="531">
        <f t="shared" si="1"/>
        <v>0</v>
      </c>
    </row>
    <row r="33" spans="2:18" ht="15" x14ac:dyDescent="0.2">
      <c r="B33" s="522" t="s">
        <v>682</v>
      </c>
      <c r="C33" s="523">
        <v>33.130000000000003</v>
      </c>
      <c r="D33" s="524"/>
      <c r="E33" s="525">
        <v>36.159999999999997</v>
      </c>
      <c r="F33" s="526"/>
      <c r="G33" s="527">
        <v>37.51</v>
      </c>
      <c r="H33" s="524"/>
      <c r="I33" s="528">
        <v>41.3</v>
      </c>
      <c r="J33" s="526"/>
      <c r="K33" s="527">
        <v>50.2</v>
      </c>
      <c r="L33" s="524"/>
      <c r="M33" s="528">
        <v>71.010000000000005</v>
      </c>
      <c r="N33" s="526"/>
      <c r="O33" s="529"/>
      <c r="P33" s="534"/>
      <c r="Q33" s="530"/>
      <c r="R33" s="531">
        <f t="shared" si="1"/>
        <v>0</v>
      </c>
    </row>
    <row r="34" spans="2:18" ht="15" x14ac:dyDescent="0.2">
      <c r="B34" s="522" t="s">
        <v>866</v>
      </c>
      <c r="C34" s="523">
        <v>58.09</v>
      </c>
      <c r="D34" s="524"/>
      <c r="E34" s="525">
        <v>64.98</v>
      </c>
      <c r="F34" s="526"/>
      <c r="G34" s="527">
        <v>90.01</v>
      </c>
      <c r="H34" s="524"/>
      <c r="I34" s="528">
        <v>96.26</v>
      </c>
      <c r="J34" s="526"/>
      <c r="K34" s="527">
        <v>144.76</v>
      </c>
      <c r="L34" s="524"/>
      <c r="M34" s="528">
        <v>159.58000000000001</v>
      </c>
      <c r="N34" s="526"/>
      <c r="O34" s="529"/>
      <c r="P34" s="534"/>
      <c r="Q34" s="530"/>
      <c r="R34" s="531">
        <f t="shared" si="1"/>
        <v>0</v>
      </c>
    </row>
    <row r="35" spans="2:18" ht="15" x14ac:dyDescent="0.2">
      <c r="B35" s="522" t="s">
        <v>765</v>
      </c>
      <c r="C35" s="523">
        <v>9.33</v>
      </c>
      <c r="D35" s="524"/>
      <c r="E35" s="525">
        <v>9.69</v>
      </c>
      <c r="F35" s="526"/>
      <c r="G35" s="527">
        <v>12.8</v>
      </c>
      <c r="H35" s="524"/>
      <c r="I35" s="528">
        <v>12.8</v>
      </c>
      <c r="J35" s="526"/>
      <c r="K35" s="620">
        <v>13.86</v>
      </c>
      <c r="L35" s="524"/>
      <c r="M35" s="528">
        <v>14.53</v>
      </c>
      <c r="N35" s="526"/>
      <c r="O35" s="529"/>
      <c r="P35" s="534"/>
      <c r="Q35" s="530"/>
      <c r="R35" s="531">
        <f t="shared" si="1"/>
        <v>0</v>
      </c>
    </row>
    <row r="36" spans="2:18" ht="15" x14ac:dyDescent="0.2">
      <c r="B36" s="522" t="s">
        <v>867</v>
      </c>
      <c r="C36" s="523">
        <v>17</v>
      </c>
      <c r="D36" s="524"/>
      <c r="E36" s="525">
        <v>26.24</v>
      </c>
      <c r="F36" s="526"/>
      <c r="G36" s="527">
        <v>26.88</v>
      </c>
      <c r="H36" s="524"/>
      <c r="I36" s="528">
        <v>32.94</v>
      </c>
      <c r="J36" s="526"/>
      <c r="K36" s="527">
        <v>33.729999999999997</v>
      </c>
      <c r="L36" s="524"/>
      <c r="M36" s="528">
        <v>33.729999999999997</v>
      </c>
      <c r="N36" s="526"/>
      <c r="O36" s="529"/>
      <c r="P36" s="534"/>
      <c r="Q36" s="530"/>
      <c r="R36" s="531">
        <f t="shared" si="1"/>
        <v>0</v>
      </c>
    </row>
    <row r="37" spans="2:18" ht="15" x14ac:dyDescent="0.2">
      <c r="B37" s="522" t="s">
        <v>868</v>
      </c>
      <c r="C37" s="523">
        <v>13.94</v>
      </c>
      <c r="D37" s="524"/>
      <c r="E37" s="525">
        <v>14.66</v>
      </c>
      <c r="F37" s="526"/>
      <c r="G37" s="527">
        <v>15.01</v>
      </c>
      <c r="H37" s="524"/>
      <c r="I37" s="528">
        <v>16.07</v>
      </c>
      <c r="J37" s="526"/>
      <c r="K37" s="527">
        <v>17.510000000000002</v>
      </c>
      <c r="L37" s="524"/>
      <c r="M37" s="528">
        <v>17.84</v>
      </c>
      <c r="N37" s="526"/>
      <c r="O37" s="529"/>
      <c r="P37" s="534"/>
      <c r="Q37" s="530"/>
      <c r="R37" s="531">
        <f t="shared" si="1"/>
        <v>0</v>
      </c>
    </row>
    <row r="38" spans="2:18" ht="15" x14ac:dyDescent="0.2">
      <c r="B38" s="522" t="s">
        <v>39</v>
      </c>
      <c r="C38" s="523">
        <v>49.11</v>
      </c>
      <c r="D38" s="524"/>
      <c r="E38" s="525">
        <v>51.86</v>
      </c>
      <c r="F38" s="526"/>
      <c r="G38" s="527">
        <v>66.39</v>
      </c>
      <c r="H38" s="524"/>
      <c r="I38" s="528">
        <v>70.56</v>
      </c>
      <c r="J38" s="526"/>
      <c r="K38" s="527">
        <v>96.15</v>
      </c>
      <c r="L38" s="524"/>
      <c r="M38" s="528">
        <v>96.15</v>
      </c>
      <c r="N38" s="526"/>
      <c r="O38" s="529"/>
      <c r="P38" s="534"/>
      <c r="Q38" s="530"/>
      <c r="R38" s="531">
        <f t="shared" si="1"/>
        <v>0</v>
      </c>
    </row>
    <row r="39" spans="2:18" ht="15" x14ac:dyDescent="0.2">
      <c r="B39" s="522" t="s">
        <v>975</v>
      </c>
      <c r="C39" s="523">
        <v>127.25</v>
      </c>
      <c r="D39" s="524"/>
      <c r="E39" s="621">
        <v>143.61000000000001</v>
      </c>
      <c r="F39" s="526"/>
      <c r="G39" s="527">
        <v>173.22</v>
      </c>
      <c r="H39" s="524"/>
      <c r="I39" s="528">
        <v>241.44</v>
      </c>
      <c r="J39" s="526"/>
      <c r="K39" s="527">
        <v>279.95999999999998</v>
      </c>
      <c r="L39" s="524"/>
      <c r="M39" s="528">
        <v>288.39</v>
      </c>
      <c r="N39" s="526"/>
      <c r="O39" s="529"/>
      <c r="P39" s="534"/>
      <c r="Q39" s="530"/>
      <c r="R39" s="531">
        <f t="shared" si="1"/>
        <v>0</v>
      </c>
    </row>
    <row r="40" spans="2:18" ht="15" x14ac:dyDescent="0.2">
      <c r="B40" s="522" t="s">
        <v>869</v>
      </c>
      <c r="C40" s="523">
        <v>44.24</v>
      </c>
      <c r="D40" s="524"/>
      <c r="E40" s="525">
        <v>49.86</v>
      </c>
      <c r="F40" s="526"/>
      <c r="G40" s="527">
        <v>55.32</v>
      </c>
      <c r="H40" s="524"/>
      <c r="I40" s="528">
        <v>57.61</v>
      </c>
      <c r="J40" s="526"/>
      <c r="K40" s="527">
        <v>71.63</v>
      </c>
      <c r="L40" s="524"/>
      <c r="M40" s="528">
        <v>78.150000000000006</v>
      </c>
      <c r="N40" s="526"/>
      <c r="O40" s="529"/>
      <c r="P40" s="534"/>
      <c r="Q40" s="530"/>
      <c r="R40" s="531">
        <f t="shared" si="1"/>
        <v>0</v>
      </c>
    </row>
    <row r="41" spans="2:18" ht="15" x14ac:dyDescent="0.2">
      <c r="B41" s="522" t="s">
        <v>870</v>
      </c>
      <c r="C41" s="523">
        <v>79.010000000000005</v>
      </c>
      <c r="D41" s="524"/>
      <c r="E41" s="525">
        <v>92.19</v>
      </c>
      <c r="F41" s="526"/>
      <c r="G41" s="527">
        <v>105.34</v>
      </c>
      <c r="H41" s="524"/>
      <c r="I41" s="528">
        <v>125.1</v>
      </c>
      <c r="J41" s="526"/>
      <c r="K41" s="527">
        <v>144.86000000000001</v>
      </c>
      <c r="L41" s="524"/>
      <c r="M41" s="528">
        <v>151.44</v>
      </c>
      <c r="N41" s="526"/>
      <c r="O41" s="529"/>
      <c r="P41" s="534"/>
      <c r="Q41" s="530"/>
      <c r="R41" s="531">
        <f t="shared" si="1"/>
        <v>0</v>
      </c>
    </row>
    <row r="42" spans="2:18" ht="15" x14ac:dyDescent="0.2">
      <c r="B42" s="522" t="s">
        <v>973</v>
      </c>
      <c r="C42" s="523">
        <v>136.65</v>
      </c>
      <c r="D42" s="524"/>
      <c r="E42" s="525">
        <v>158.36000000000001</v>
      </c>
      <c r="F42" s="526"/>
      <c r="G42" s="527">
        <v>180.11</v>
      </c>
      <c r="H42" s="524"/>
      <c r="I42" s="528">
        <v>224.26</v>
      </c>
      <c r="J42" s="526"/>
      <c r="K42" s="527">
        <v>0</v>
      </c>
      <c r="L42" s="524"/>
      <c r="M42" s="528">
        <v>0</v>
      </c>
      <c r="N42" s="526"/>
      <c r="O42" s="529"/>
      <c r="P42" s="534"/>
      <c r="Q42" s="530"/>
      <c r="R42" s="531">
        <f t="shared" si="1"/>
        <v>0</v>
      </c>
    </row>
    <row r="43" spans="2:18" ht="15" x14ac:dyDescent="0.2">
      <c r="B43" s="522" t="s">
        <v>974</v>
      </c>
      <c r="C43" s="523">
        <v>282.58</v>
      </c>
      <c r="D43" s="524"/>
      <c r="E43" s="525">
        <v>322.95999999999998</v>
      </c>
      <c r="F43" s="526"/>
      <c r="G43" s="527">
        <v>360.68</v>
      </c>
      <c r="H43" s="524"/>
      <c r="I43" s="528">
        <v>381.53</v>
      </c>
      <c r="J43" s="526"/>
      <c r="K43" s="527">
        <v>0</v>
      </c>
      <c r="L43" s="524"/>
      <c r="M43" s="528">
        <v>0</v>
      </c>
      <c r="N43" s="526"/>
      <c r="O43" s="529"/>
      <c r="P43" s="534"/>
      <c r="Q43" s="530"/>
      <c r="R43" s="531">
        <f t="shared" si="1"/>
        <v>0</v>
      </c>
    </row>
    <row r="44" spans="2:18" ht="15" x14ac:dyDescent="0.2">
      <c r="B44" s="522" t="s">
        <v>771</v>
      </c>
      <c r="C44" s="523">
        <v>14.49</v>
      </c>
      <c r="D44" s="524"/>
      <c r="E44" s="525">
        <v>14.49</v>
      </c>
      <c r="F44" s="526"/>
      <c r="G44" s="527">
        <v>14.49</v>
      </c>
      <c r="H44" s="524"/>
      <c r="I44" s="528">
        <v>27.8</v>
      </c>
      <c r="J44" s="526"/>
      <c r="K44" s="527">
        <v>27.8</v>
      </c>
      <c r="L44" s="524"/>
      <c r="M44" s="528">
        <v>27.8</v>
      </c>
      <c r="N44" s="526"/>
      <c r="O44" s="529"/>
      <c r="P44" s="534"/>
      <c r="Q44" s="530"/>
      <c r="R44" s="531">
        <f t="shared" si="1"/>
        <v>0</v>
      </c>
    </row>
    <row r="45" spans="2:18" ht="15" x14ac:dyDescent="0.2">
      <c r="B45" s="522"/>
      <c r="C45" s="523"/>
      <c r="D45" s="524"/>
      <c r="E45" s="525"/>
      <c r="F45" s="526"/>
      <c r="G45" s="527"/>
      <c r="H45" s="524"/>
      <c r="I45" s="528"/>
      <c r="J45" s="526"/>
      <c r="K45" s="527"/>
      <c r="L45" s="524"/>
      <c r="M45" s="528"/>
      <c r="N45" s="526"/>
      <c r="O45" s="529"/>
      <c r="P45" s="534"/>
      <c r="Q45" s="530"/>
      <c r="R45" s="531">
        <f t="shared" si="1"/>
        <v>0</v>
      </c>
    </row>
    <row r="46" spans="2:18" ht="15" x14ac:dyDescent="0.2">
      <c r="B46" s="522"/>
      <c r="C46" s="549"/>
      <c r="D46" s="534"/>
      <c r="E46" s="550"/>
      <c r="F46" s="534"/>
      <c r="G46" s="551"/>
      <c r="H46" s="534"/>
      <c r="I46" s="551"/>
      <c r="J46" s="534"/>
      <c r="K46" s="551"/>
      <c r="L46" s="534"/>
      <c r="M46" s="551"/>
      <c r="N46" s="534"/>
      <c r="O46" s="529"/>
      <c r="P46" s="534"/>
      <c r="Q46" s="624" t="s">
        <v>799</v>
      </c>
      <c r="R46" s="540">
        <f>SUM(R30:R45)</f>
        <v>0</v>
      </c>
    </row>
    <row r="47" spans="2:18" ht="15" x14ac:dyDescent="0.2">
      <c r="B47" s="522"/>
      <c r="C47" s="533"/>
      <c r="D47" s="534"/>
      <c r="E47" s="534"/>
      <c r="F47" s="534"/>
      <c r="G47" s="534"/>
      <c r="H47" s="534"/>
      <c r="I47" s="534"/>
      <c r="J47" s="534"/>
      <c r="K47" s="534"/>
      <c r="L47" s="534"/>
      <c r="M47" s="534"/>
      <c r="N47" s="534"/>
      <c r="O47" s="529"/>
      <c r="P47" s="534"/>
      <c r="Q47" s="539">
        <v>0.15</v>
      </c>
      <c r="R47" s="540">
        <f>SUM(R46*0.15)</f>
        <v>0</v>
      </c>
    </row>
    <row r="48" spans="2:18" ht="16" thickBot="1" x14ac:dyDescent="0.25">
      <c r="B48" s="541"/>
      <c r="C48" s="542"/>
      <c r="D48" s="543"/>
      <c r="E48" s="543"/>
      <c r="F48" s="543"/>
      <c r="G48" s="543"/>
      <c r="H48" s="543"/>
      <c r="I48" s="543"/>
      <c r="J48" s="543"/>
      <c r="K48" s="543"/>
      <c r="L48" s="543"/>
      <c r="M48" s="543"/>
      <c r="N48" s="543"/>
      <c r="O48" s="544"/>
      <c r="P48" s="543"/>
      <c r="Q48" s="545" t="s">
        <v>14</v>
      </c>
      <c r="R48" s="546">
        <f>SUM(R46+R47)</f>
        <v>0</v>
      </c>
    </row>
  </sheetData>
  <mergeCells count="4">
    <mergeCell ref="B2:E2"/>
    <mergeCell ref="H2:L2"/>
    <mergeCell ref="N2:O2"/>
    <mergeCell ref="B3:O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theme="0" tint="-0.249977111117893"/>
  </sheetPr>
  <dimension ref="B1:V94"/>
  <sheetViews>
    <sheetView zoomScale="90" zoomScaleNormal="90" workbookViewId="0">
      <selection activeCell="U8" sqref="U8"/>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0"/>
    <col min="18" max="18" width="13.1640625" customWidth="1"/>
    <col min="20" max="20" width="9.1640625" style="500"/>
    <col min="21" max="21" width="5.5" customWidth="1"/>
    <col min="22" max="22" width="12.33203125" customWidth="1"/>
    <col min="23" max="23" width="11.5" customWidth="1"/>
  </cols>
  <sheetData>
    <row r="1" spans="2:22" ht="14" thickBot="1" x14ac:dyDescent="0.2"/>
    <row r="2" spans="2:22" ht="16" thickBot="1" x14ac:dyDescent="0.25">
      <c r="B2" s="1087" t="s">
        <v>691</v>
      </c>
      <c r="C2" s="1088"/>
      <c r="D2" s="1088"/>
      <c r="E2" s="1089"/>
      <c r="G2" s="567" t="s">
        <v>678</v>
      </c>
      <c r="H2" s="1087" t="str">
        <f>IF(CANOPY!G3="","",CANOPY!G3)</f>
        <v/>
      </c>
      <c r="I2" s="1088"/>
      <c r="J2" s="1088"/>
      <c r="K2" s="1088"/>
      <c r="L2" s="1089"/>
      <c r="M2" s="568" t="s">
        <v>679</v>
      </c>
      <c r="N2" s="1087" t="str">
        <f>IF(CANOPY!C3="","",CANOPY!C3)</f>
        <v/>
      </c>
      <c r="O2" s="1089"/>
      <c r="Q2" s="501"/>
      <c r="R2" s="554" t="s">
        <v>14</v>
      </c>
      <c r="T2" s="963" t="s">
        <v>1386</v>
      </c>
      <c r="U2" s="964"/>
      <c r="V2" s="965"/>
    </row>
    <row r="3" spans="2:22" ht="14" thickBot="1" x14ac:dyDescent="0.2">
      <c r="B3" s="1090" t="s">
        <v>850</v>
      </c>
      <c r="C3" s="1090"/>
      <c r="D3" s="1090"/>
      <c r="E3" s="1090"/>
      <c r="F3" s="1090"/>
      <c r="G3" s="1090"/>
      <c r="H3" s="1090"/>
      <c r="I3" s="1090"/>
      <c r="J3" s="1090"/>
      <c r="K3" s="1090"/>
      <c r="L3" s="1090"/>
      <c r="M3" s="1090"/>
      <c r="N3" s="1090"/>
      <c r="O3" s="1090"/>
      <c r="R3" s="555">
        <f>R25+R48+R71+R94</f>
        <v>0</v>
      </c>
      <c r="T3" s="594" t="s">
        <v>731</v>
      </c>
      <c r="U3" s="594" t="s">
        <v>537</v>
      </c>
      <c r="V3" s="393"/>
    </row>
    <row r="4" spans="2:22" ht="14" thickBot="1" x14ac:dyDescent="0.2">
      <c r="T4" s="617">
        <v>2017</v>
      </c>
      <c r="U4" s="618">
        <v>0.03</v>
      </c>
      <c r="V4" s="619" t="s">
        <v>758</v>
      </c>
    </row>
    <row r="5" spans="2:22" ht="15" x14ac:dyDescent="0.2">
      <c r="C5" s="502" t="s">
        <v>77</v>
      </c>
      <c r="D5" s="503" t="s">
        <v>680</v>
      </c>
      <c r="E5" s="503" t="s">
        <v>77</v>
      </c>
      <c r="F5" s="503" t="s">
        <v>680</v>
      </c>
      <c r="G5" s="503" t="s">
        <v>77</v>
      </c>
      <c r="H5" s="503" t="s">
        <v>680</v>
      </c>
      <c r="I5" s="503" t="s">
        <v>77</v>
      </c>
      <c r="J5" s="503" t="s">
        <v>680</v>
      </c>
      <c r="K5" s="503" t="s">
        <v>77</v>
      </c>
      <c r="L5" s="503" t="s">
        <v>680</v>
      </c>
      <c r="M5" s="503" t="s">
        <v>77</v>
      </c>
      <c r="N5" s="503" t="s">
        <v>680</v>
      </c>
      <c r="O5" s="503"/>
      <c r="P5" s="503"/>
      <c r="Q5" s="504"/>
      <c r="R5" s="505" t="s">
        <v>87</v>
      </c>
      <c r="T5" s="939">
        <v>2024</v>
      </c>
      <c r="U5" s="940">
        <v>0.4</v>
      </c>
      <c r="V5" s="966">
        <f>R3*U5+R3</f>
        <v>0</v>
      </c>
    </row>
    <row r="6" spans="2:22" ht="16" thickBot="1" x14ac:dyDescent="0.25">
      <c r="C6" s="506" t="s">
        <v>772</v>
      </c>
      <c r="D6" s="507"/>
      <c r="E6" s="508" t="s">
        <v>773</v>
      </c>
      <c r="F6" s="507"/>
      <c r="G6" s="509" t="s">
        <v>774</v>
      </c>
      <c r="H6" s="507"/>
      <c r="I6" s="508" t="s">
        <v>775</v>
      </c>
      <c r="J6" s="507"/>
      <c r="K6" s="509" t="s">
        <v>776</v>
      </c>
      <c r="L6" s="507"/>
      <c r="M6" s="508" t="s">
        <v>777</v>
      </c>
      <c r="N6" s="507"/>
      <c r="O6" s="510"/>
      <c r="P6" s="507"/>
      <c r="Q6" s="511"/>
      <c r="R6" s="512"/>
    </row>
    <row r="7" spans="2:22" ht="15" x14ac:dyDescent="0.2">
      <c r="B7" s="513" t="s">
        <v>765</v>
      </c>
      <c r="C7" s="514">
        <v>17.829999999999998</v>
      </c>
      <c r="D7" s="515"/>
      <c r="E7" s="516">
        <v>19.649999999999999</v>
      </c>
      <c r="F7" s="517"/>
      <c r="G7" s="518">
        <v>21.66</v>
      </c>
      <c r="H7" s="515"/>
      <c r="I7" s="519">
        <v>23.3</v>
      </c>
      <c r="J7" s="517"/>
      <c r="K7" s="518">
        <v>25</v>
      </c>
      <c r="L7" s="515"/>
      <c r="M7" s="519">
        <v>26.9</v>
      </c>
      <c r="N7" s="517"/>
      <c r="O7" s="520"/>
      <c r="P7" s="622"/>
      <c r="Q7" s="504"/>
      <c r="R7" s="521">
        <f>SUM(C7*D7+E7*F7+G7*H7+I7*J7+K7*L7+M7*+N7+O7*P7)</f>
        <v>0</v>
      </c>
    </row>
    <row r="8" spans="2:22" ht="15" x14ac:dyDescent="0.2">
      <c r="B8" s="522" t="s">
        <v>779</v>
      </c>
      <c r="C8" s="523">
        <v>41.24</v>
      </c>
      <c r="D8" s="524"/>
      <c r="E8" s="525">
        <v>47.3</v>
      </c>
      <c r="F8" s="526"/>
      <c r="G8" s="527">
        <v>54.24</v>
      </c>
      <c r="H8" s="524"/>
      <c r="I8" s="528">
        <v>58.57</v>
      </c>
      <c r="J8" s="526"/>
      <c r="K8" s="527">
        <v>63.31</v>
      </c>
      <c r="L8" s="524"/>
      <c r="M8" s="528">
        <v>68.36</v>
      </c>
      <c r="N8" s="526"/>
      <c r="O8" s="529"/>
      <c r="P8" s="534"/>
      <c r="Q8" s="530"/>
      <c r="R8" s="531">
        <f t="shared" ref="R8:R22" si="0">SUM(C8*D8+E8*F8+G8*H8+I8*J8+K8*L8+M8*+N8+O8*P8)</f>
        <v>0</v>
      </c>
    </row>
    <row r="9" spans="2:22" ht="15" x14ac:dyDescent="0.2">
      <c r="B9" s="522" t="s">
        <v>684</v>
      </c>
      <c r="C9" s="523">
        <v>46.36</v>
      </c>
      <c r="D9" s="524"/>
      <c r="E9" s="525">
        <v>51.97</v>
      </c>
      <c r="F9" s="526"/>
      <c r="G9" s="527">
        <v>58.26</v>
      </c>
      <c r="H9" s="524"/>
      <c r="I9" s="528">
        <v>62.91</v>
      </c>
      <c r="J9" s="526"/>
      <c r="K9" s="527">
        <v>84.58</v>
      </c>
      <c r="L9" s="524"/>
      <c r="M9" s="528">
        <v>91.19</v>
      </c>
      <c r="N9" s="526"/>
      <c r="O9" s="529"/>
      <c r="P9" s="534"/>
      <c r="Q9" s="530"/>
      <c r="R9" s="531">
        <f t="shared" si="0"/>
        <v>0</v>
      </c>
    </row>
    <row r="10" spans="2:22" ht="15" x14ac:dyDescent="0.2">
      <c r="B10" s="522" t="s">
        <v>682</v>
      </c>
      <c r="C10" s="523">
        <v>39.54</v>
      </c>
      <c r="D10" s="524"/>
      <c r="E10" s="525">
        <v>44.32</v>
      </c>
      <c r="F10" s="526"/>
      <c r="G10" s="527">
        <v>49.69</v>
      </c>
      <c r="H10" s="524"/>
      <c r="I10" s="528">
        <v>53.56</v>
      </c>
      <c r="J10" s="526"/>
      <c r="K10" s="527">
        <v>57.83</v>
      </c>
      <c r="L10" s="524"/>
      <c r="M10" s="528">
        <v>62.34</v>
      </c>
      <c r="N10" s="526"/>
      <c r="O10" s="529"/>
      <c r="P10" s="534"/>
      <c r="Q10" s="530"/>
      <c r="R10" s="531">
        <f t="shared" si="0"/>
        <v>0</v>
      </c>
    </row>
    <row r="11" spans="2:22" ht="15" x14ac:dyDescent="0.2">
      <c r="B11" s="522" t="s">
        <v>683</v>
      </c>
      <c r="C11" s="523">
        <v>48.83</v>
      </c>
      <c r="D11" s="524"/>
      <c r="E11" s="525">
        <v>56</v>
      </c>
      <c r="F11" s="526"/>
      <c r="G11" s="527">
        <v>64.22</v>
      </c>
      <c r="H11" s="524"/>
      <c r="I11" s="528">
        <v>69.349999999999994</v>
      </c>
      <c r="J11" s="526"/>
      <c r="K11" s="527">
        <v>75.650000000000006</v>
      </c>
      <c r="L11" s="524"/>
      <c r="M11" s="528">
        <v>82.14</v>
      </c>
      <c r="N11" s="526"/>
      <c r="O11" s="529"/>
      <c r="P11" s="534"/>
      <c r="Q11" s="530"/>
      <c r="R11" s="531">
        <f t="shared" si="0"/>
        <v>0</v>
      </c>
    </row>
    <row r="12" spans="2:22" ht="15" x14ac:dyDescent="0.2">
      <c r="B12" s="522" t="s">
        <v>766</v>
      </c>
      <c r="C12" s="523">
        <v>68.13</v>
      </c>
      <c r="D12" s="524"/>
      <c r="E12" s="525">
        <v>78.13</v>
      </c>
      <c r="F12" s="526"/>
      <c r="G12" s="527">
        <v>89.6</v>
      </c>
      <c r="H12" s="524"/>
      <c r="I12" s="528">
        <v>96.75</v>
      </c>
      <c r="J12" s="526"/>
      <c r="K12" s="527">
        <v>130.08000000000001</v>
      </c>
      <c r="L12" s="524"/>
      <c r="M12" s="528">
        <v>140.25</v>
      </c>
      <c r="N12" s="526"/>
      <c r="O12" s="529"/>
      <c r="P12" s="534"/>
      <c r="Q12" s="530"/>
      <c r="R12" s="531">
        <f t="shared" si="0"/>
        <v>0</v>
      </c>
    </row>
    <row r="13" spans="2:22" ht="15" x14ac:dyDescent="0.2">
      <c r="B13" s="522" t="s">
        <v>767</v>
      </c>
      <c r="C13" s="523">
        <v>56.59</v>
      </c>
      <c r="D13" s="524"/>
      <c r="E13" s="525">
        <v>64.89</v>
      </c>
      <c r="F13" s="526"/>
      <c r="G13" s="527">
        <v>74.42</v>
      </c>
      <c r="H13" s="524"/>
      <c r="I13" s="528">
        <v>80.36</v>
      </c>
      <c r="J13" s="526"/>
      <c r="K13" s="527">
        <v>86.86</v>
      </c>
      <c r="L13" s="524"/>
      <c r="M13" s="528">
        <v>94.31</v>
      </c>
      <c r="N13" s="526"/>
      <c r="O13" s="529"/>
      <c r="P13" s="534"/>
      <c r="Q13" s="530"/>
      <c r="R13" s="531">
        <f t="shared" si="0"/>
        <v>0</v>
      </c>
    </row>
    <row r="14" spans="2:22" ht="15" x14ac:dyDescent="0.2">
      <c r="B14" s="522" t="s">
        <v>778</v>
      </c>
      <c r="C14" s="523">
        <v>46.55</v>
      </c>
      <c r="D14" s="524"/>
      <c r="E14" s="525">
        <v>53.38</v>
      </c>
      <c r="F14" s="526"/>
      <c r="G14" s="527">
        <v>61.22</v>
      </c>
      <c r="H14" s="524"/>
      <c r="I14" s="528">
        <v>66.11</v>
      </c>
      <c r="J14" s="526"/>
      <c r="K14" s="527">
        <v>71.45</v>
      </c>
      <c r="L14" s="524"/>
      <c r="M14" s="528">
        <v>77.16</v>
      </c>
      <c r="N14" s="526"/>
      <c r="O14" s="529"/>
      <c r="P14" s="534"/>
      <c r="Q14" s="530"/>
      <c r="R14" s="531">
        <f t="shared" si="0"/>
        <v>0</v>
      </c>
    </row>
    <row r="15" spans="2:22" ht="15" x14ac:dyDescent="0.2">
      <c r="B15" s="522" t="s">
        <v>780</v>
      </c>
      <c r="C15" s="523">
        <v>46.55</v>
      </c>
      <c r="D15" s="524"/>
      <c r="E15" s="525">
        <v>53.38</v>
      </c>
      <c r="F15" s="526"/>
      <c r="G15" s="527">
        <v>61.22</v>
      </c>
      <c r="H15" s="524"/>
      <c r="I15" s="528">
        <v>66.11</v>
      </c>
      <c r="J15" s="526"/>
      <c r="K15" s="527">
        <v>71.45</v>
      </c>
      <c r="L15" s="524"/>
      <c r="M15" s="528">
        <v>77.16</v>
      </c>
      <c r="N15" s="526"/>
      <c r="O15" s="529"/>
      <c r="P15" s="534"/>
      <c r="Q15" s="530"/>
      <c r="R15" s="531">
        <f t="shared" si="0"/>
        <v>0</v>
      </c>
    </row>
    <row r="16" spans="2:22" ht="15" x14ac:dyDescent="0.2">
      <c r="B16" s="522" t="s">
        <v>685</v>
      </c>
      <c r="C16" s="523">
        <v>45.56</v>
      </c>
      <c r="D16" s="524"/>
      <c r="E16" s="525">
        <v>51.08</v>
      </c>
      <c r="F16" s="526"/>
      <c r="G16" s="527">
        <v>57.26</v>
      </c>
      <c r="H16" s="524"/>
      <c r="I16" s="528">
        <v>61.72</v>
      </c>
      <c r="J16" s="526"/>
      <c r="K16" s="527">
        <v>66.64</v>
      </c>
      <c r="L16" s="524"/>
      <c r="M16" s="528">
        <v>71.83</v>
      </c>
      <c r="N16" s="526"/>
      <c r="O16" s="529"/>
      <c r="P16" s="534"/>
      <c r="Q16" s="530"/>
      <c r="R16" s="531">
        <f t="shared" si="0"/>
        <v>0</v>
      </c>
    </row>
    <row r="17" spans="2:18" ht="15" x14ac:dyDescent="0.2">
      <c r="B17" s="522" t="s">
        <v>681</v>
      </c>
      <c r="C17" s="523">
        <v>29.21</v>
      </c>
      <c r="D17" s="524"/>
      <c r="E17" s="525">
        <v>32.200000000000003</v>
      </c>
      <c r="F17" s="526"/>
      <c r="G17" s="527">
        <v>35.49</v>
      </c>
      <c r="H17" s="524"/>
      <c r="I17" s="528">
        <v>38.18</v>
      </c>
      <c r="J17" s="526"/>
      <c r="K17" s="527">
        <v>40.96</v>
      </c>
      <c r="L17" s="524"/>
      <c r="M17" s="528">
        <v>44.07</v>
      </c>
      <c r="N17" s="526"/>
      <c r="O17" s="529"/>
      <c r="P17" s="534"/>
      <c r="Q17" s="530"/>
      <c r="R17" s="531">
        <f t="shared" si="0"/>
        <v>0</v>
      </c>
    </row>
    <row r="18" spans="2:18" ht="15" x14ac:dyDescent="0.2">
      <c r="B18" s="522" t="s">
        <v>768</v>
      </c>
      <c r="C18" s="523">
        <v>5.66</v>
      </c>
      <c r="D18" s="524"/>
      <c r="E18" s="525">
        <v>6.5</v>
      </c>
      <c r="F18" s="526"/>
      <c r="G18" s="527">
        <v>7.45</v>
      </c>
      <c r="H18" s="524"/>
      <c r="I18" s="528">
        <v>8.1199999999999992</v>
      </c>
      <c r="J18" s="526"/>
      <c r="K18" s="527">
        <v>8.86</v>
      </c>
      <c r="L18" s="524"/>
      <c r="M18" s="528">
        <v>9.65</v>
      </c>
      <c r="N18" s="526"/>
      <c r="O18" s="529"/>
      <c r="P18" s="534"/>
      <c r="Q18" s="530"/>
      <c r="R18" s="531">
        <f t="shared" si="0"/>
        <v>0</v>
      </c>
    </row>
    <row r="19" spans="2:18" ht="15" x14ac:dyDescent="0.2">
      <c r="B19" s="522" t="s">
        <v>769</v>
      </c>
      <c r="C19" s="523">
        <v>21.1</v>
      </c>
      <c r="D19" s="524"/>
      <c r="E19" s="525">
        <v>24.2</v>
      </c>
      <c r="F19" s="526"/>
      <c r="G19" s="527">
        <v>27.75</v>
      </c>
      <c r="H19" s="524"/>
      <c r="I19" s="528">
        <v>29.97</v>
      </c>
      <c r="J19" s="526"/>
      <c r="K19" s="527">
        <v>32.39</v>
      </c>
      <c r="L19" s="524"/>
      <c r="M19" s="528">
        <v>34.97</v>
      </c>
      <c r="N19" s="526"/>
      <c r="O19" s="529"/>
      <c r="P19" s="534"/>
      <c r="Q19" s="530"/>
      <c r="R19" s="531">
        <f t="shared" si="0"/>
        <v>0</v>
      </c>
    </row>
    <row r="20" spans="2:18" ht="15" x14ac:dyDescent="0.2">
      <c r="B20" s="522" t="s">
        <v>770</v>
      </c>
      <c r="C20" s="523">
        <v>7.77</v>
      </c>
      <c r="D20" s="524"/>
      <c r="E20" s="525">
        <v>8.56</v>
      </c>
      <c r="F20" s="526"/>
      <c r="G20" s="527">
        <v>9.44</v>
      </c>
      <c r="H20" s="524"/>
      <c r="I20" s="528">
        <v>10.16</v>
      </c>
      <c r="J20" s="526"/>
      <c r="K20" s="527">
        <v>10.9</v>
      </c>
      <c r="L20" s="524"/>
      <c r="M20" s="528">
        <v>11.72</v>
      </c>
      <c r="N20" s="526"/>
      <c r="O20" s="529"/>
      <c r="P20" s="534"/>
      <c r="Q20" s="530"/>
      <c r="R20" s="531">
        <f t="shared" si="0"/>
        <v>0</v>
      </c>
    </row>
    <row r="21" spans="2:18" ht="15" x14ac:dyDescent="0.2">
      <c r="B21" s="522" t="s">
        <v>771</v>
      </c>
      <c r="C21" s="523">
        <v>25</v>
      </c>
      <c r="D21" s="524"/>
      <c r="E21" s="525">
        <v>25</v>
      </c>
      <c r="F21" s="526"/>
      <c r="G21" s="527">
        <v>28</v>
      </c>
      <c r="H21" s="524"/>
      <c r="I21" s="528">
        <v>28</v>
      </c>
      <c r="J21" s="526"/>
      <c r="K21" s="527">
        <v>30</v>
      </c>
      <c r="L21" s="524"/>
      <c r="M21" s="528">
        <v>32</v>
      </c>
      <c r="N21" s="526"/>
      <c r="O21" s="529"/>
      <c r="P21" s="534"/>
      <c r="Q21" s="530"/>
      <c r="R21" s="531">
        <f t="shared" si="0"/>
        <v>0</v>
      </c>
    </row>
    <row r="22" spans="2:18" ht="15" x14ac:dyDescent="0.2">
      <c r="B22" s="522" t="s">
        <v>39</v>
      </c>
      <c r="C22" s="523">
        <v>32.25</v>
      </c>
      <c r="D22" s="524"/>
      <c r="E22" s="525">
        <v>35.4</v>
      </c>
      <c r="F22" s="526"/>
      <c r="G22" s="527">
        <v>40.159999999999997</v>
      </c>
      <c r="H22" s="524"/>
      <c r="I22" s="528">
        <v>45.11</v>
      </c>
      <c r="J22" s="526"/>
      <c r="K22" s="527">
        <v>48.76</v>
      </c>
      <c r="L22" s="524"/>
      <c r="M22" s="528">
        <v>53.19</v>
      </c>
      <c r="N22" s="526"/>
      <c r="O22" s="529"/>
      <c r="P22" s="534"/>
      <c r="Q22" s="530"/>
      <c r="R22" s="531">
        <f t="shared" si="0"/>
        <v>0</v>
      </c>
    </row>
    <row r="23" spans="2:18" ht="15" x14ac:dyDescent="0.2">
      <c r="B23" s="532"/>
      <c r="C23" s="533"/>
      <c r="D23" s="534"/>
      <c r="E23" s="534"/>
      <c r="F23" s="534"/>
      <c r="G23" s="534"/>
      <c r="H23" s="534"/>
      <c r="I23" s="534"/>
      <c r="J23" s="534"/>
      <c r="K23" s="534"/>
      <c r="L23" s="534"/>
      <c r="M23" s="534"/>
      <c r="N23" s="534"/>
      <c r="O23" s="529"/>
      <c r="P23" s="534"/>
      <c r="Q23" s="623" t="s">
        <v>799</v>
      </c>
      <c r="R23" s="531">
        <f>SUM(R7:R22)</f>
        <v>0</v>
      </c>
    </row>
    <row r="24" spans="2:18" ht="15" x14ac:dyDescent="0.2">
      <c r="B24" s="535" t="s">
        <v>686</v>
      </c>
      <c r="C24" s="536"/>
      <c r="D24" s="537"/>
      <c r="E24" s="537"/>
      <c r="F24" s="537"/>
      <c r="G24" s="537"/>
      <c r="H24" s="537"/>
      <c r="I24" s="537"/>
      <c r="J24" s="537"/>
      <c r="K24" s="537"/>
      <c r="L24" s="537"/>
      <c r="M24" s="537"/>
      <c r="N24" s="537"/>
      <c r="O24" s="538"/>
      <c r="P24" s="537"/>
      <c r="Q24" s="539">
        <v>0.15</v>
      </c>
      <c r="R24" s="540">
        <f>SUM(R23*0.15)</f>
        <v>0</v>
      </c>
    </row>
    <row r="25" spans="2:18" ht="16" thickBot="1" x14ac:dyDescent="0.25">
      <c r="B25" s="541"/>
      <c r="C25" s="542"/>
      <c r="D25" s="543"/>
      <c r="E25" s="543"/>
      <c r="F25" s="543"/>
      <c r="G25" s="543"/>
      <c r="H25" s="543"/>
      <c r="I25" s="543"/>
      <c r="J25" s="543"/>
      <c r="K25" s="543"/>
      <c r="L25" s="543"/>
      <c r="M25" s="543"/>
      <c r="N25" s="543"/>
      <c r="O25" s="544"/>
      <c r="P25" s="543"/>
      <c r="Q25" s="545" t="s">
        <v>14</v>
      </c>
      <c r="R25" s="546">
        <f>SUM(R23+R24)</f>
        <v>0</v>
      </c>
    </row>
    <row r="27" spans="2:18" ht="14" thickBot="1" x14ac:dyDescent="0.2"/>
    <row r="28" spans="2:18" ht="15" x14ac:dyDescent="0.2">
      <c r="C28" s="502" t="s">
        <v>77</v>
      </c>
      <c r="D28" s="503" t="s">
        <v>680</v>
      </c>
      <c r="E28" s="503" t="s">
        <v>77</v>
      </c>
      <c r="F28" s="503" t="s">
        <v>680</v>
      </c>
      <c r="G28" s="503" t="s">
        <v>77</v>
      </c>
      <c r="H28" s="503" t="s">
        <v>680</v>
      </c>
      <c r="I28" s="503" t="s">
        <v>77</v>
      </c>
      <c r="J28" s="503" t="s">
        <v>680</v>
      </c>
      <c r="K28" s="503" t="s">
        <v>77</v>
      </c>
      <c r="L28" s="503" t="s">
        <v>680</v>
      </c>
      <c r="M28" s="503" t="s">
        <v>77</v>
      </c>
      <c r="N28" s="547" t="s">
        <v>680</v>
      </c>
      <c r="O28" s="503"/>
      <c r="P28" s="503"/>
      <c r="Q28" s="504"/>
      <c r="R28" s="505" t="s">
        <v>87</v>
      </c>
    </row>
    <row r="29" spans="2:18" ht="16" thickBot="1" x14ac:dyDescent="0.25">
      <c r="C29" s="506" t="s">
        <v>781</v>
      </c>
      <c r="D29" s="507"/>
      <c r="E29" s="508" t="s">
        <v>782</v>
      </c>
      <c r="F29" s="507"/>
      <c r="G29" s="509" t="s">
        <v>783</v>
      </c>
      <c r="H29" s="507"/>
      <c r="I29" s="508" t="s">
        <v>784</v>
      </c>
      <c r="J29" s="507"/>
      <c r="K29" s="509" t="s">
        <v>785</v>
      </c>
      <c r="L29" s="507"/>
      <c r="M29" s="508" t="s">
        <v>786</v>
      </c>
      <c r="N29" s="548"/>
      <c r="O29" s="510"/>
      <c r="P29" s="507"/>
      <c r="Q29" s="511"/>
      <c r="R29" s="512"/>
    </row>
    <row r="30" spans="2:18" ht="15" x14ac:dyDescent="0.2">
      <c r="B30" s="513" t="s">
        <v>765</v>
      </c>
      <c r="C30" s="514">
        <v>28.86</v>
      </c>
      <c r="D30" s="515"/>
      <c r="E30" s="516">
        <v>31.04</v>
      </c>
      <c r="F30" s="517"/>
      <c r="G30" s="518">
        <v>33.299999999999997</v>
      </c>
      <c r="H30" s="515"/>
      <c r="I30" s="519">
        <v>35.83</v>
      </c>
      <c r="J30" s="517"/>
      <c r="K30" s="518">
        <v>38.44</v>
      </c>
      <c r="L30" s="515"/>
      <c r="M30" s="519">
        <v>41.36</v>
      </c>
      <c r="N30" s="517"/>
      <c r="O30" s="520"/>
      <c r="P30" s="622"/>
      <c r="Q30" s="504"/>
      <c r="R30" s="521">
        <f t="shared" ref="R30:R45" si="1">SUM(C30*D30+E30*F30+G30*H30+I30*J30+K30*L30+M30*+N30+O30*P30)</f>
        <v>0</v>
      </c>
    </row>
    <row r="31" spans="2:18" ht="15" x14ac:dyDescent="0.2">
      <c r="B31" s="522" t="s">
        <v>779</v>
      </c>
      <c r="C31" s="523">
        <v>73.89</v>
      </c>
      <c r="D31" s="524"/>
      <c r="E31" s="525">
        <v>79.78</v>
      </c>
      <c r="F31" s="526"/>
      <c r="G31" s="527">
        <v>86.23</v>
      </c>
      <c r="H31" s="524"/>
      <c r="I31" s="528">
        <v>93.12</v>
      </c>
      <c r="J31" s="526"/>
      <c r="K31" s="527">
        <v>100.65</v>
      </c>
      <c r="L31" s="524"/>
      <c r="M31" s="528">
        <v>108.68</v>
      </c>
      <c r="N31" s="526"/>
      <c r="O31" s="529"/>
      <c r="P31" s="534"/>
      <c r="Q31" s="530"/>
      <c r="R31" s="531">
        <f t="shared" si="1"/>
        <v>0</v>
      </c>
    </row>
    <row r="32" spans="2:18" ht="15" x14ac:dyDescent="0.2">
      <c r="B32" s="522" t="s">
        <v>684</v>
      </c>
      <c r="C32" s="523">
        <v>98.32</v>
      </c>
      <c r="D32" s="524"/>
      <c r="E32" s="525">
        <v>106</v>
      </c>
      <c r="F32" s="526"/>
      <c r="G32" s="527">
        <v>114.28</v>
      </c>
      <c r="H32" s="524"/>
      <c r="I32" s="528">
        <v>123.21</v>
      </c>
      <c r="J32" s="526"/>
      <c r="K32" s="527">
        <v>132.84</v>
      </c>
      <c r="L32" s="524"/>
      <c r="M32" s="528">
        <v>143.22</v>
      </c>
      <c r="N32" s="526"/>
      <c r="O32" s="529"/>
      <c r="P32" s="534"/>
      <c r="Q32" s="530"/>
      <c r="R32" s="531">
        <f t="shared" si="1"/>
        <v>0</v>
      </c>
    </row>
    <row r="33" spans="2:18" ht="15" x14ac:dyDescent="0.2">
      <c r="B33" s="522" t="s">
        <v>682</v>
      </c>
      <c r="C33" s="523">
        <v>67.31</v>
      </c>
      <c r="D33" s="524"/>
      <c r="E33" s="525">
        <v>72.55</v>
      </c>
      <c r="F33" s="526"/>
      <c r="G33" s="527">
        <v>78.34</v>
      </c>
      <c r="H33" s="524"/>
      <c r="I33" s="528">
        <v>84.44</v>
      </c>
      <c r="J33" s="526"/>
      <c r="K33" s="527">
        <v>91.19</v>
      </c>
      <c r="L33" s="524"/>
      <c r="M33" s="528">
        <v>98.28</v>
      </c>
      <c r="N33" s="526"/>
      <c r="O33" s="529"/>
      <c r="P33" s="534"/>
      <c r="Q33" s="530"/>
      <c r="R33" s="531">
        <f t="shared" si="1"/>
        <v>0</v>
      </c>
    </row>
    <row r="34" spans="2:18" ht="15" x14ac:dyDescent="0.2">
      <c r="B34" s="522" t="s">
        <v>683</v>
      </c>
      <c r="C34" s="523">
        <v>89.6</v>
      </c>
      <c r="D34" s="524"/>
      <c r="E34" s="525">
        <v>97.29</v>
      </c>
      <c r="F34" s="526"/>
      <c r="G34" s="527">
        <v>106.13</v>
      </c>
      <c r="H34" s="524"/>
      <c r="I34" s="528">
        <v>115.24</v>
      </c>
      <c r="J34" s="526"/>
      <c r="K34" s="527">
        <v>125.71</v>
      </c>
      <c r="L34" s="524"/>
      <c r="M34" s="528">
        <v>136.5</v>
      </c>
      <c r="N34" s="526"/>
      <c r="O34" s="529"/>
      <c r="P34" s="534"/>
      <c r="Q34" s="530"/>
      <c r="R34" s="531">
        <f t="shared" si="1"/>
        <v>0</v>
      </c>
    </row>
    <row r="35" spans="2:18" ht="15" x14ac:dyDescent="0.2">
      <c r="B35" s="522" t="s">
        <v>766</v>
      </c>
      <c r="C35" s="523">
        <v>151.19999999999999</v>
      </c>
      <c r="D35" s="524"/>
      <c r="E35" s="525">
        <v>163.02000000000001</v>
      </c>
      <c r="F35" s="526"/>
      <c r="G35" s="527">
        <v>175.76</v>
      </c>
      <c r="H35" s="524"/>
      <c r="I35" s="528">
        <v>189.49</v>
      </c>
      <c r="J35" s="526"/>
      <c r="K35" s="620">
        <v>204.29</v>
      </c>
      <c r="L35" s="524"/>
      <c r="M35" s="528">
        <v>220.26</v>
      </c>
      <c r="N35" s="526"/>
      <c r="O35" s="529"/>
      <c r="P35" s="534"/>
      <c r="Q35" s="530"/>
      <c r="R35" s="531">
        <f t="shared" si="1"/>
        <v>0</v>
      </c>
    </row>
    <row r="36" spans="2:18" ht="15" x14ac:dyDescent="0.2">
      <c r="B36" s="522" t="s">
        <v>767</v>
      </c>
      <c r="C36" s="523">
        <v>101.94</v>
      </c>
      <c r="D36" s="524"/>
      <c r="E36" s="525">
        <v>110.69</v>
      </c>
      <c r="F36" s="526"/>
      <c r="G36" s="527">
        <v>119.64</v>
      </c>
      <c r="H36" s="524"/>
      <c r="I36" s="528">
        <v>129.91</v>
      </c>
      <c r="J36" s="526"/>
      <c r="K36" s="527">
        <v>140.41</v>
      </c>
      <c r="L36" s="524"/>
      <c r="M36" s="528">
        <v>152.46</v>
      </c>
      <c r="N36" s="526"/>
      <c r="O36" s="529"/>
      <c r="P36" s="534"/>
      <c r="Q36" s="530"/>
      <c r="R36" s="531">
        <f t="shared" si="1"/>
        <v>0</v>
      </c>
    </row>
    <row r="37" spans="2:18" ht="15" x14ac:dyDescent="0.2">
      <c r="B37" s="522" t="s">
        <v>778</v>
      </c>
      <c r="C37" s="523">
        <v>83.39</v>
      </c>
      <c r="D37" s="524"/>
      <c r="E37" s="525">
        <v>90.05</v>
      </c>
      <c r="F37" s="526"/>
      <c r="G37" s="527">
        <v>97.33</v>
      </c>
      <c r="H37" s="524"/>
      <c r="I37" s="528">
        <v>105.1</v>
      </c>
      <c r="J37" s="526"/>
      <c r="K37" s="527">
        <v>113.6</v>
      </c>
      <c r="L37" s="524"/>
      <c r="M37" s="528">
        <v>122.67</v>
      </c>
      <c r="N37" s="526"/>
      <c r="O37" s="529"/>
      <c r="P37" s="534"/>
      <c r="Q37" s="530"/>
      <c r="R37" s="531">
        <f t="shared" si="1"/>
        <v>0</v>
      </c>
    </row>
    <row r="38" spans="2:18" ht="15" x14ac:dyDescent="0.2">
      <c r="B38" s="522" t="s">
        <v>780</v>
      </c>
      <c r="C38" s="523">
        <v>83.39</v>
      </c>
      <c r="D38" s="524"/>
      <c r="E38" s="525">
        <v>90.05</v>
      </c>
      <c r="F38" s="526"/>
      <c r="G38" s="527">
        <v>97.33</v>
      </c>
      <c r="H38" s="524"/>
      <c r="I38" s="528">
        <v>105.1</v>
      </c>
      <c r="J38" s="526"/>
      <c r="K38" s="527">
        <v>113.6</v>
      </c>
      <c r="L38" s="524"/>
      <c r="M38" s="528">
        <v>122.67</v>
      </c>
      <c r="N38" s="526"/>
      <c r="O38" s="529"/>
      <c r="P38" s="534"/>
      <c r="Q38" s="530"/>
      <c r="R38" s="531">
        <f t="shared" si="1"/>
        <v>0</v>
      </c>
    </row>
    <row r="39" spans="2:18" ht="15" x14ac:dyDescent="0.2">
      <c r="B39" s="522" t="s">
        <v>685</v>
      </c>
      <c r="C39" s="523">
        <v>77.569999999999993</v>
      </c>
      <c r="D39" s="524"/>
      <c r="E39" s="621">
        <v>83.61</v>
      </c>
      <c r="F39" s="526"/>
      <c r="G39" s="527">
        <v>90.28</v>
      </c>
      <c r="H39" s="524"/>
      <c r="I39" s="528">
        <v>97.31</v>
      </c>
      <c r="J39" s="526"/>
      <c r="K39" s="527">
        <v>105.08</v>
      </c>
      <c r="L39" s="524"/>
      <c r="M39" s="528">
        <v>113.26</v>
      </c>
      <c r="N39" s="526"/>
      <c r="O39" s="529"/>
      <c r="P39" s="534"/>
      <c r="Q39" s="530"/>
      <c r="R39" s="531">
        <f t="shared" si="1"/>
        <v>0</v>
      </c>
    </row>
    <row r="40" spans="2:18" ht="15" x14ac:dyDescent="0.2">
      <c r="B40" s="522" t="s">
        <v>681</v>
      </c>
      <c r="C40" s="523">
        <v>47.28</v>
      </c>
      <c r="D40" s="524"/>
      <c r="E40" s="525">
        <v>50.86</v>
      </c>
      <c r="F40" s="526"/>
      <c r="G40" s="527">
        <v>54.57</v>
      </c>
      <c r="H40" s="524"/>
      <c r="I40" s="528">
        <v>58.71</v>
      </c>
      <c r="J40" s="526"/>
      <c r="K40" s="527">
        <v>62.98</v>
      </c>
      <c r="L40" s="524"/>
      <c r="M40" s="528">
        <v>67.760000000000005</v>
      </c>
      <c r="N40" s="526"/>
      <c r="O40" s="529"/>
      <c r="P40" s="534"/>
      <c r="Q40" s="530"/>
      <c r="R40" s="531">
        <f t="shared" si="1"/>
        <v>0</v>
      </c>
    </row>
    <row r="41" spans="2:18" ht="15" x14ac:dyDescent="0.2">
      <c r="B41" s="522" t="s">
        <v>768</v>
      </c>
      <c r="C41" s="523">
        <v>10.53</v>
      </c>
      <c r="D41" s="524"/>
      <c r="E41" s="525">
        <v>11.48</v>
      </c>
      <c r="F41" s="526"/>
      <c r="G41" s="527">
        <v>12.52</v>
      </c>
      <c r="H41" s="524"/>
      <c r="I41" s="528">
        <v>13.64</v>
      </c>
      <c r="J41" s="526"/>
      <c r="K41" s="527">
        <v>14.88</v>
      </c>
      <c r="L41" s="524"/>
      <c r="M41" s="528">
        <v>16.22</v>
      </c>
      <c r="N41" s="526"/>
      <c r="O41" s="529"/>
      <c r="P41" s="534"/>
      <c r="Q41" s="530"/>
      <c r="R41" s="531">
        <f t="shared" si="1"/>
        <v>0</v>
      </c>
    </row>
    <row r="42" spans="2:18" ht="15" x14ac:dyDescent="0.2">
      <c r="B42" s="522" t="s">
        <v>769</v>
      </c>
      <c r="C42" s="523">
        <v>37.799999999999997</v>
      </c>
      <c r="D42" s="524"/>
      <c r="E42" s="525">
        <v>40.82</v>
      </c>
      <c r="F42" s="526"/>
      <c r="G42" s="527">
        <v>44.12</v>
      </c>
      <c r="H42" s="524"/>
      <c r="I42" s="528">
        <v>47.64</v>
      </c>
      <c r="J42" s="526"/>
      <c r="K42" s="527">
        <v>51.49</v>
      </c>
      <c r="L42" s="524"/>
      <c r="M42" s="528">
        <v>55.6</v>
      </c>
      <c r="N42" s="526"/>
      <c r="O42" s="529"/>
      <c r="P42" s="534"/>
      <c r="Q42" s="530"/>
      <c r="R42" s="531">
        <f t="shared" si="1"/>
        <v>0</v>
      </c>
    </row>
    <row r="43" spans="2:18" ht="15" x14ac:dyDescent="0.2">
      <c r="B43" s="522" t="s">
        <v>770</v>
      </c>
      <c r="C43" s="523">
        <v>12.58</v>
      </c>
      <c r="D43" s="524"/>
      <c r="E43" s="525">
        <v>13.53</v>
      </c>
      <c r="F43" s="526"/>
      <c r="G43" s="527">
        <v>14.52</v>
      </c>
      <c r="H43" s="524"/>
      <c r="I43" s="528">
        <v>15.62</v>
      </c>
      <c r="J43" s="526"/>
      <c r="K43" s="527">
        <v>16.75</v>
      </c>
      <c r="L43" s="524"/>
      <c r="M43" s="528">
        <v>18.02</v>
      </c>
      <c r="N43" s="526"/>
      <c r="O43" s="529"/>
      <c r="P43" s="534"/>
      <c r="Q43" s="530"/>
      <c r="R43" s="531">
        <f t="shared" si="1"/>
        <v>0</v>
      </c>
    </row>
    <row r="44" spans="2:18" ht="15" x14ac:dyDescent="0.2">
      <c r="B44" s="522" t="s">
        <v>771</v>
      </c>
      <c r="C44" s="523">
        <v>35</v>
      </c>
      <c r="D44" s="524"/>
      <c r="E44" s="525">
        <v>48</v>
      </c>
      <c r="F44" s="526"/>
      <c r="G44" s="527">
        <v>48</v>
      </c>
      <c r="H44" s="524"/>
      <c r="I44" s="528">
        <v>48</v>
      </c>
      <c r="J44" s="526"/>
      <c r="K44" s="527">
        <v>48</v>
      </c>
      <c r="L44" s="524"/>
      <c r="M44" s="528">
        <v>48</v>
      </c>
      <c r="N44" s="526"/>
      <c r="O44" s="529"/>
      <c r="P44" s="534"/>
      <c r="Q44" s="530"/>
      <c r="R44" s="531">
        <f t="shared" si="1"/>
        <v>0</v>
      </c>
    </row>
    <row r="45" spans="2:18" ht="15" x14ac:dyDescent="0.2">
      <c r="B45" s="522" t="s">
        <v>39</v>
      </c>
      <c r="C45" s="523">
        <v>58.52</v>
      </c>
      <c r="D45" s="524"/>
      <c r="E45" s="525">
        <v>62.94</v>
      </c>
      <c r="F45" s="526"/>
      <c r="G45" s="527">
        <v>71.89</v>
      </c>
      <c r="H45" s="524"/>
      <c r="I45" s="528">
        <v>77.38</v>
      </c>
      <c r="J45" s="526"/>
      <c r="K45" s="527">
        <v>84.03</v>
      </c>
      <c r="L45" s="524"/>
      <c r="M45" s="528">
        <v>89.84</v>
      </c>
      <c r="N45" s="526"/>
      <c r="O45" s="529"/>
      <c r="P45" s="534"/>
      <c r="Q45" s="530"/>
      <c r="R45" s="531">
        <f t="shared" si="1"/>
        <v>0</v>
      </c>
    </row>
    <row r="46" spans="2:18" ht="15" x14ac:dyDescent="0.2">
      <c r="B46" s="522"/>
      <c r="C46" s="549"/>
      <c r="D46" s="534"/>
      <c r="E46" s="550"/>
      <c r="F46" s="534"/>
      <c r="G46" s="551"/>
      <c r="H46" s="534"/>
      <c r="I46" s="551"/>
      <c r="J46" s="534"/>
      <c r="K46" s="551"/>
      <c r="L46" s="534"/>
      <c r="M46" s="551"/>
      <c r="N46" s="534"/>
      <c r="O46" s="529"/>
      <c r="P46" s="534"/>
      <c r="Q46" s="624" t="s">
        <v>799</v>
      </c>
      <c r="R46" s="540">
        <f>SUM(R30:R45)</f>
        <v>0</v>
      </c>
    </row>
    <row r="47" spans="2:18" ht="15" x14ac:dyDescent="0.2">
      <c r="B47" s="522" t="s">
        <v>687</v>
      </c>
      <c r="C47" s="533"/>
      <c r="D47" s="534"/>
      <c r="E47" s="534"/>
      <c r="F47" s="534"/>
      <c r="G47" s="534"/>
      <c r="H47" s="534"/>
      <c r="I47" s="534"/>
      <c r="J47" s="534"/>
      <c r="K47" s="534"/>
      <c r="L47" s="534"/>
      <c r="M47" s="534"/>
      <c r="N47" s="534"/>
      <c r="O47" s="529"/>
      <c r="P47" s="534"/>
      <c r="Q47" s="539">
        <v>0.15</v>
      </c>
      <c r="R47" s="540">
        <f>SUM(R46*0.15)</f>
        <v>0</v>
      </c>
    </row>
    <row r="48" spans="2:18" ht="16" thickBot="1" x14ac:dyDescent="0.25">
      <c r="B48" s="541"/>
      <c r="C48" s="542"/>
      <c r="D48" s="543"/>
      <c r="E48" s="543"/>
      <c r="F48" s="543"/>
      <c r="G48" s="543"/>
      <c r="H48" s="543"/>
      <c r="I48" s="543"/>
      <c r="J48" s="543"/>
      <c r="K48" s="543"/>
      <c r="L48" s="543"/>
      <c r="M48" s="543"/>
      <c r="N48" s="543"/>
      <c r="O48" s="544"/>
      <c r="P48" s="543"/>
      <c r="Q48" s="545" t="s">
        <v>14</v>
      </c>
      <c r="R48" s="546">
        <f>SUM(R46+R47)</f>
        <v>0</v>
      </c>
    </row>
    <row r="50" spans="2:18" ht="14" thickBot="1" x14ac:dyDescent="0.2"/>
    <row r="51" spans="2:18" ht="15" x14ac:dyDescent="0.2">
      <c r="C51" s="502" t="s">
        <v>77</v>
      </c>
      <c r="D51" s="503" t="s">
        <v>680</v>
      </c>
      <c r="E51" s="503" t="s">
        <v>77</v>
      </c>
      <c r="F51" s="503" t="s">
        <v>680</v>
      </c>
      <c r="G51" s="503" t="s">
        <v>77</v>
      </c>
      <c r="H51" s="503" t="s">
        <v>680</v>
      </c>
      <c r="I51" s="503" t="s">
        <v>77</v>
      </c>
      <c r="J51" s="503" t="s">
        <v>680</v>
      </c>
      <c r="K51" s="503" t="s">
        <v>77</v>
      </c>
      <c r="L51" s="503" t="s">
        <v>680</v>
      </c>
      <c r="M51" s="503" t="s">
        <v>77</v>
      </c>
      <c r="N51" s="503" t="s">
        <v>680</v>
      </c>
      <c r="O51" s="503" t="s">
        <v>77</v>
      </c>
      <c r="P51" s="503" t="s">
        <v>680</v>
      </c>
      <c r="Q51" s="504"/>
      <c r="R51" s="505" t="s">
        <v>87</v>
      </c>
    </row>
    <row r="52" spans="2:18" ht="16" thickBot="1" x14ac:dyDescent="0.25">
      <c r="C52" s="506" t="s">
        <v>688</v>
      </c>
      <c r="D52" s="507"/>
      <c r="E52" s="508" t="s">
        <v>790</v>
      </c>
      <c r="F52" s="507"/>
      <c r="G52" s="509" t="s">
        <v>791</v>
      </c>
      <c r="H52" s="507"/>
      <c r="I52" s="508" t="s">
        <v>787</v>
      </c>
      <c r="J52" s="507"/>
      <c r="K52" s="509" t="s">
        <v>689</v>
      </c>
      <c r="L52" s="507"/>
      <c r="M52" s="508" t="s">
        <v>788</v>
      </c>
      <c r="N52" s="507"/>
      <c r="O52" s="509" t="s">
        <v>789</v>
      </c>
      <c r="P52" s="507"/>
      <c r="Q52" s="511"/>
      <c r="R52" s="512"/>
    </row>
    <row r="53" spans="2:18" ht="15" x14ac:dyDescent="0.2">
      <c r="B53" s="513" t="s">
        <v>765</v>
      </c>
      <c r="C53" s="514">
        <v>45.2</v>
      </c>
      <c r="D53" s="515"/>
      <c r="E53" s="516">
        <v>48.62</v>
      </c>
      <c r="F53" s="517"/>
      <c r="G53" s="518">
        <v>52.16</v>
      </c>
      <c r="H53" s="515"/>
      <c r="I53" s="519">
        <v>56.12</v>
      </c>
      <c r="J53" s="517"/>
      <c r="K53" s="518">
        <v>61.33</v>
      </c>
      <c r="L53" s="515"/>
      <c r="M53" s="519">
        <v>65.98</v>
      </c>
      <c r="N53" s="517"/>
      <c r="O53" s="552">
        <v>70.790000000000006</v>
      </c>
      <c r="P53" s="515"/>
      <c r="Q53" s="504"/>
      <c r="R53" s="521">
        <f t="shared" ref="R53:R68" si="2">SUM(C53*D53+E53*F53+G53*H53+I53*J53+K53*L53+M53*+N53+O53*P53)</f>
        <v>0</v>
      </c>
    </row>
    <row r="54" spans="2:18" ht="15" x14ac:dyDescent="0.2">
      <c r="B54" s="522" t="s">
        <v>779</v>
      </c>
      <c r="C54" s="523">
        <v>118.56</v>
      </c>
      <c r="D54" s="524"/>
      <c r="E54" s="525">
        <v>128.02000000000001</v>
      </c>
      <c r="F54" s="526"/>
      <c r="G54" s="527">
        <v>138.37</v>
      </c>
      <c r="H54" s="524"/>
      <c r="I54" s="528">
        <v>149.41999999999999</v>
      </c>
      <c r="J54" s="526"/>
      <c r="K54" s="527">
        <v>162.99</v>
      </c>
      <c r="L54" s="524"/>
      <c r="M54" s="528">
        <v>176</v>
      </c>
      <c r="N54" s="526"/>
      <c r="O54" s="553">
        <v>190.23</v>
      </c>
      <c r="P54" s="524"/>
      <c r="Q54" s="530"/>
      <c r="R54" s="531">
        <f t="shared" si="2"/>
        <v>0</v>
      </c>
    </row>
    <row r="55" spans="2:18" ht="15" x14ac:dyDescent="0.2">
      <c r="B55" s="522" t="s">
        <v>684</v>
      </c>
      <c r="C55" s="523">
        <v>168.41</v>
      </c>
      <c r="D55" s="524"/>
      <c r="E55" s="525">
        <v>181.57</v>
      </c>
      <c r="F55" s="526"/>
      <c r="G55" s="527">
        <v>195.76</v>
      </c>
      <c r="H55" s="524"/>
      <c r="I55" s="528">
        <v>211.05</v>
      </c>
      <c r="J55" s="526"/>
      <c r="K55" s="527">
        <v>227.54</v>
      </c>
      <c r="L55" s="524"/>
      <c r="M55" s="528">
        <v>245.32</v>
      </c>
      <c r="N55" s="526"/>
      <c r="O55" s="553">
        <v>264.49</v>
      </c>
      <c r="P55" s="524"/>
      <c r="Q55" s="530"/>
      <c r="R55" s="531">
        <f t="shared" si="2"/>
        <v>0</v>
      </c>
    </row>
    <row r="56" spans="2:18" ht="15" x14ac:dyDescent="0.2">
      <c r="B56" s="522" t="s">
        <v>682</v>
      </c>
      <c r="C56" s="523">
        <v>107.11</v>
      </c>
      <c r="D56" s="524"/>
      <c r="E56" s="525">
        <v>115.45</v>
      </c>
      <c r="F56" s="526"/>
      <c r="G56" s="527">
        <v>124.67</v>
      </c>
      <c r="H56" s="524"/>
      <c r="I56" s="528">
        <v>134.37</v>
      </c>
      <c r="J56" s="526"/>
      <c r="K56" s="527">
        <v>146.44</v>
      </c>
      <c r="L56" s="524"/>
      <c r="M56" s="528">
        <v>157.84</v>
      </c>
      <c r="N56" s="526"/>
      <c r="O56" s="553">
        <v>170.45</v>
      </c>
      <c r="P56" s="524"/>
      <c r="Q56" s="530"/>
      <c r="R56" s="531">
        <f t="shared" si="2"/>
        <v>0</v>
      </c>
    </row>
    <row r="57" spans="2:18" ht="15" x14ac:dyDescent="0.2">
      <c r="B57" s="522" t="s">
        <v>683</v>
      </c>
      <c r="C57" s="523">
        <v>148.9</v>
      </c>
      <c r="D57" s="524"/>
      <c r="E57" s="525">
        <v>161.68</v>
      </c>
      <c r="F57" s="526"/>
      <c r="G57" s="527">
        <v>174.75</v>
      </c>
      <c r="H57" s="524"/>
      <c r="I57" s="528">
        <v>189.75</v>
      </c>
      <c r="J57" s="526"/>
      <c r="K57" s="527">
        <v>206.99</v>
      </c>
      <c r="L57" s="524"/>
      <c r="M57" s="528">
        <v>224.76</v>
      </c>
      <c r="N57" s="526"/>
      <c r="O57" s="553">
        <v>242.93</v>
      </c>
      <c r="P57" s="524"/>
      <c r="Q57" s="530"/>
      <c r="R57" s="531">
        <f t="shared" si="2"/>
        <v>0</v>
      </c>
    </row>
    <row r="58" spans="2:18" ht="15" x14ac:dyDescent="0.2">
      <c r="B58" s="522" t="s">
        <v>766</v>
      </c>
      <c r="C58" s="523">
        <v>244.13</v>
      </c>
      <c r="D58" s="524"/>
      <c r="E58" s="525">
        <v>263.20999999999998</v>
      </c>
      <c r="F58" s="526"/>
      <c r="G58" s="527">
        <v>283.77</v>
      </c>
      <c r="H58" s="524"/>
      <c r="I58" s="528">
        <v>305.94</v>
      </c>
      <c r="J58" s="526"/>
      <c r="K58" s="527">
        <v>329.85</v>
      </c>
      <c r="L58" s="524"/>
      <c r="M58" s="528">
        <v>355.62</v>
      </c>
      <c r="N58" s="526"/>
      <c r="O58" s="553">
        <v>383.41</v>
      </c>
      <c r="P58" s="524"/>
      <c r="Q58" s="530"/>
      <c r="R58" s="531">
        <f t="shared" si="2"/>
        <v>0</v>
      </c>
    </row>
    <row r="59" spans="2:18" ht="15" x14ac:dyDescent="0.2">
      <c r="B59" s="522" t="s">
        <v>767</v>
      </c>
      <c r="C59" s="523">
        <v>166.31</v>
      </c>
      <c r="D59" s="524"/>
      <c r="E59" s="525">
        <v>180.59</v>
      </c>
      <c r="F59" s="526"/>
      <c r="G59" s="527">
        <v>195.18</v>
      </c>
      <c r="H59" s="524"/>
      <c r="I59" s="528">
        <v>211.94</v>
      </c>
      <c r="J59" s="526"/>
      <c r="K59" s="527">
        <v>231.19</v>
      </c>
      <c r="L59" s="524"/>
      <c r="M59" s="528">
        <v>251.04</v>
      </c>
      <c r="N59" s="526"/>
      <c r="O59" s="553">
        <v>271.33</v>
      </c>
      <c r="P59" s="524"/>
      <c r="Q59" s="530"/>
      <c r="R59" s="531">
        <f t="shared" si="2"/>
        <v>0</v>
      </c>
    </row>
    <row r="60" spans="2:18" ht="15" x14ac:dyDescent="0.2">
      <c r="B60" s="522" t="s">
        <v>778</v>
      </c>
      <c r="C60" s="523">
        <v>132.59</v>
      </c>
      <c r="D60" s="524"/>
      <c r="E60" s="525">
        <v>143.16999999999999</v>
      </c>
      <c r="F60" s="526"/>
      <c r="G60" s="527">
        <v>154.75</v>
      </c>
      <c r="H60" s="524"/>
      <c r="I60" s="528">
        <v>167.1</v>
      </c>
      <c r="J60" s="526"/>
      <c r="K60" s="527">
        <v>180.61</v>
      </c>
      <c r="L60" s="524"/>
      <c r="M60" s="528">
        <v>195.03</v>
      </c>
      <c r="N60" s="526"/>
      <c r="O60" s="553">
        <v>210.79</v>
      </c>
      <c r="P60" s="524"/>
      <c r="Q60" s="530"/>
      <c r="R60" s="531">
        <f t="shared" si="2"/>
        <v>0</v>
      </c>
    </row>
    <row r="61" spans="2:18" ht="15" x14ac:dyDescent="0.2">
      <c r="B61" s="522" t="s">
        <v>780</v>
      </c>
      <c r="C61" s="523">
        <v>132.59</v>
      </c>
      <c r="D61" s="524"/>
      <c r="E61" s="525">
        <v>143.16999999999999</v>
      </c>
      <c r="F61" s="526"/>
      <c r="G61" s="527">
        <v>154.75</v>
      </c>
      <c r="H61" s="524"/>
      <c r="I61" s="528">
        <v>167.1</v>
      </c>
      <c r="J61" s="526"/>
      <c r="K61" s="527">
        <v>180.61</v>
      </c>
      <c r="L61" s="524"/>
      <c r="M61" s="528">
        <v>195.03</v>
      </c>
      <c r="N61" s="526"/>
      <c r="O61" s="553">
        <v>210.79</v>
      </c>
      <c r="P61" s="524"/>
      <c r="Q61" s="530"/>
      <c r="R61" s="531">
        <f t="shared" si="2"/>
        <v>0</v>
      </c>
    </row>
    <row r="62" spans="2:18" ht="15" x14ac:dyDescent="0.2">
      <c r="B62" s="522" t="s">
        <v>685</v>
      </c>
      <c r="C62" s="523">
        <v>122.3</v>
      </c>
      <c r="D62" s="524"/>
      <c r="E62" s="525">
        <v>131.82</v>
      </c>
      <c r="F62" s="526"/>
      <c r="G62" s="527">
        <v>142.34</v>
      </c>
      <c r="H62" s="524"/>
      <c r="I62" s="528">
        <v>153.41999999999999</v>
      </c>
      <c r="J62" s="526"/>
      <c r="K62" s="527">
        <v>165.67</v>
      </c>
      <c r="L62" s="524"/>
      <c r="M62" s="528">
        <v>178.57</v>
      </c>
      <c r="N62" s="526"/>
      <c r="O62" s="553">
        <v>192.82</v>
      </c>
      <c r="P62" s="524"/>
      <c r="Q62" s="530"/>
      <c r="R62" s="531">
        <f t="shared" si="2"/>
        <v>0</v>
      </c>
    </row>
    <row r="63" spans="2:18" ht="15" x14ac:dyDescent="0.2">
      <c r="B63" s="522" t="s">
        <v>681</v>
      </c>
      <c r="C63" s="523">
        <v>72.7</v>
      </c>
      <c r="D63" s="524"/>
      <c r="E63" s="525">
        <v>78.209999999999994</v>
      </c>
      <c r="F63" s="526"/>
      <c r="G63" s="527">
        <v>83.91</v>
      </c>
      <c r="H63" s="524"/>
      <c r="I63" s="528">
        <v>90.27</v>
      </c>
      <c r="J63" s="526"/>
      <c r="K63" s="527">
        <v>96.85</v>
      </c>
      <c r="L63" s="524"/>
      <c r="M63" s="528">
        <v>104.19</v>
      </c>
      <c r="N63" s="526"/>
      <c r="O63" s="553">
        <v>111.78</v>
      </c>
      <c r="P63" s="524"/>
      <c r="Q63" s="530"/>
      <c r="R63" s="531">
        <f t="shared" si="2"/>
        <v>0</v>
      </c>
    </row>
    <row r="64" spans="2:18" ht="15" x14ac:dyDescent="0.2">
      <c r="B64" s="522" t="s">
        <v>768</v>
      </c>
      <c r="C64" s="523">
        <v>17.690000000000001</v>
      </c>
      <c r="D64" s="524"/>
      <c r="E64" s="525">
        <v>19.28</v>
      </c>
      <c r="F64" s="526"/>
      <c r="G64" s="527">
        <v>21.03</v>
      </c>
      <c r="H64" s="524"/>
      <c r="I64" s="528">
        <v>22.92</v>
      </c>
      <c r="J64" s="526"/>
      <c r="K64" s="527">
        <v>25</v>
      </c>
      <c r="L64" s="524"/>
      <c r="M64" s="528">
        <v>27.25</v>
      </c>
      <c r="N64" s="526"/>
      <c r="O64" s="553">
        <v>29.73</v>
      </c>
      <c r="P64" s="524"/>
      <c r="Q64" s="530"/>
      <c r="R64" s="531">
        <f t="shared" si="2"/>
        <v>0</v>
      </c>
    </row>
    <row r="65" spans="2:18" ht="15" x14ac:dyDescent="0.2">
      <c r="B65" s="522" t="s">
        <v>769</v>
      </c>
      <c r="C65" s="523">
        <v>60.1</v>
      </c>
      <c r="D65" s="524"/>
      <c r="E65" s="525">
        <v>64.900000000000006</v>
      </c>
      <c r="F65" s="526"/>
      <c r="G65" s="527">
        <v>70.14</v>
      </c>
      <c r="H65" s="524"/>
      <c r="I65" s="528">
        <v>75.739999999999995</v>
      </c>
      <c r="J65" s="526"/>
      <c r="K65" s="527">
        <v>81.87</v>
      </c>
      <c r="L65" s="524"/>
      <c r="M65" s="528">
        <v>88.4</v>
      </c>
      <c r="N65" s="526"/>
      <c r="O65" s="553">
        <v>95.55</v>
      </c>
      <c r="P65" s="524"/>
      <c r="Q65" s="530"/>
      <c r="R65" s="531">
        <f t="shared" si="2"/>
        <v>0</v>
      </c>
    </row>
    <row r="66" spans="2:18" ht="15" x14ac:dyDescent="0.2">
      <c r="B66" s="522" t="s">
        <v>770</v>
      </c>
      <c r="C66" s="523">
        <v>19.34</v>
      </c>
      <c r="D66" s="524"/>
      <c r="E66" s="525">
        <v>20.8</v>
      </c>
      <c r="F66" s="526"/>
      <c r="G66" s="527">
        <v>22.32</v>
      </c>
      <c r="H66" s="524"/>
      <c r="I66" s="528">
        <v>24.01</v>
      </c>
      <c r="J66" s="526"/>
      <c r="K66" s="527">
        <v>25.76</v>
      </c>
      <c r="L66" s="524"/>
      <c r="M66" s="528">
        <v>27.71</v>
      </c>
      <c r="N66" s="526"/>
      <c r="O66" s="553">
        <v>29.73</v>
      </c>
      <c r="P66" s="524"/>
      <c r="Q66" s="530"/>
      <c r="R66" s="531">
        <f t="shared" si="2"/>
        <v>0</v>
      </c>
    </row>
    <row r="67" spans="2:18" ht="15" x14ac:dyDescent="0.2">
      <c r="B67" s="522" t="s">
        <v>771</v>
      </c>
      <c r="C67" s="523">
        <v>48</v>
      </c>
      <c r="D67" s="524"/>
      <c r="E67" s="525">
        <v>48</v>
      </c>
      <c r="F67" s="526"/>
      <c r="G67" s="527">
        <v>48</v>
      </c>
      <c r="H67" s="524"/>
      <c r="I67" s="528">
        <v>48</v>
      </c>
      <c r="J67" s="526"/>
      <c r="K67" s="527">
        <v>48</v>
      </c>
      <c r="L67" s="524"/>
      <c r="M67" s="528">
        <v>48</v>
      </c>
      <c r="N67" s="526"/>
      <c r="O67" s="553">
        <v>48</v>
      </c>
      <c r="P67" s="524"/>
      <c r="Q67" s="530"/>
      <c r="R67" s="531">
        <f t="shared" si="2"/>
        <v>0</v>
      </c>
    </row>
    <row r="68" spans="2:18" ht="15" x14ac:dyDescent="0.2">
      <c r="B68" s="522" t="s">
        <v>39</v>
      </c>
      <c r="C68" s="523">
        <v>97.22</v>
      </c>
      <c r="D68" s="524"/>
      <c r="E68" s="525">
        <v>104.74</v>
      </c>
      <c r="F68" s="526"/>
      <c r="G68" s="527">
        <v>112.19</v>
      </c>
      <c r="H68" s="524"/>
      <c r="I68" s="528">
        <v>119.05</v>
      </c>
      <c r="J68" s="526"/>
      <c r="K68" s="527">
        <v>127.24</v>
      </c>
      <c r="L68" s="524"/>
      <c r="M68" s="528">
        <v>148.56</v>
      </c>
      <c r="N68" s="526"/>
      <c r="O68" s="553">
        <v>157.18</v>
      </c>
      <c r="P68" s="524"/>
      <c r="Q68" s="530"/>
      <c r="R68" s="531">
        <f t="shared" si="2"/>
        <v>0</v>
      </c>
    </row>
    <row r="69" spans="2:18" ht="15" x14ac:dyDescent="0.2">
      <c r="B69" s="532"/>
      <c r="C69" s="533"/>
      <c r="D69" s="534"/>
      <c r="E69" s="534"/>
      <c r="F69" s="534"/>
      <c r="G69" s="534"/>
      <c r="H69" s="534"/>
      <c r="I69" s="534"/>
      <c r="J69" s="534"/>
      <c r="K69" s="534"/>
      <c r="L69" s="534"/>
      <c r="M69" s="534"/>
      <c r="N69" s="534"/>
      <c r="O69" s="529"/>
      <c r="P69" s="534"/>
      <c r="Q69" s="623" t="s">
        <v>799</v>
      </c>
      <c r="R69" s="540">
        <f>SUM(R52:R68)</f>
        <v>0</v>
      </c>
    </row>
    <row r="70" spans="2:18" ht="15" x14ac:dyDescent="0.2">
      <c r="B70" s="522" t="s">
        <v>687</v>
      </c>
      <c r="C70" s="536"/>
      <c r="D70" s="537"/>
      <c r="E70" s="537"/>
      <c r="F70" s="537"/>
      <c r="G70" s="537"/>
      <c r="H70" s="537"/>
      <c r="I70" s="537"/>
      <c r="J70" s="537"/>
      <c r="K70" s="537"/>
      <c r="L70" s="537"/>
      <c r="M70" s="537"/>
      <c r="N70" s="537"/>
      <c r="O70" s="538"/>
      <c r="P70" s="537"/>
      <c r="Q70" s="539">
        <v>0.15</v>
      </c>
      <c r="R70" s="540">
        <f>SUM(R69*0.15)</f>
        <v>0</v>
      </c>
    </row>
    <row r="71" spans="2:18" ht="16" thickBot="1" x14ac:dyDescent="0.25">
      <c r="B71" s="541"/>
      <c r="C71" s="542"/>
      <c r="D71" s="543"/>
      <c r="E71" s="543"/>
      <c r="F71" s="543"/>
      <c r="G71" s="543"/>
      <c r="H71" s="543"/>
      <c r="I71" s="543"/>
      <c r="J71" s="543"/>
      <c r="K71" s="543"/>
      <c r="L71" s="543"/>
      <c r="M71" s="543"/>
      <c r="N71" s="543"/>
      <c r="O71" s="544"/>
      <c r="P71" s="543"/>
      <c r="Q71" s="545" t="s">
        <v>14</v>
      </c>
      <c r="R71" s="546">
        <f>SUM(R69+R70)</f>
        <v>0</v>
      </c>
    </row>
    <row r="73" spans="2:18" ht="14" thickBot="1" x14ac:dyDescent="0.2"/>
    <row r="74" spans="2:18" ht="15" x14ac:dyDescent="0.2">
      <c r="C74" s="502" t="s">
        <v>77</v>
      </c>
      <c r="D74" s="503" t="s">
        <v>680</v>
      </c>
      <c r="E74" s="503" t="s">
        <v>77</v>
      </c>
      <c r="F74" s="503" t="s">
        <v>680</v>
      </c>
      <c r="G74" s="503" t="s">
        <v>77</v>
      </c>
      <c r="H74" s="503" t="s">
        <v>680</v>
      </c>
      <c r="I74" s="503" t="s">
        <v>77</v>
      </c>
      <c r="J74" s="503" t="s">
        <v>680</v>
      </c>
      <c r="K74" s="503" t="s">
        <v>77</v>
      </c>
      <c r="L74" s="503" t="s">
        <v>680</v>
      </c>
      <c r="M74" s="503" t="s">
        <v>77</v>
      </c>
      <c r="N74" s="503" t="s">
        <v>680</v>
      </c>
      <c r="O74" s="503" t="s">
        <v>77</v>
      </c>
      <c r="P74" s="503" t="s">
        <v>680</v>
      </c>
      <c r="Q74" s="504"/>
      <c r="R74" s="505" t="s">
        <v>87</v>
      </c>
    </row>
    <row r="75" spans="2:18" ht="16" thickBot="1" x14ac:dyDescent="0.25">
      <c r="C75" s="506" t="s">
        <v>792</v>
      </c>
      <c r="D75" s="507"/>
      <c r="E75" s="508" t="s">
        <v>793</v>
      </c>
      <c r="F75" s="507"/>
      <c r="G75" s="509" t="s">
        <v>794</v>
      </c>
      <c r="H75" s="507"/>
      <c r="I75" s="508" t="s">
        <v>795</v>
      </c>
      <c r="J75" s="507"/>
      <c r="K75" s="509" t="s">
        <v>796</v>
      </c>
      <c r="L75" s="507"/>
      <c r="M75" s="508" t="s">
        <v>797</v>
      </c>
      <c r="N75" s="507"/>
      <c r="O75" s="509" t="s">
        <v>798</v>
      </c>
      <c r="P75" s="507"/>
      <c r="Q75" s="511"/>
      <c r="R75" s="512"/>
    </row>
    <row r="76" spans="2:18" ht="15" x14ac:dyDescent="0.2">
      <c r="B76" s="513" t="s">
        <v>765</v>
      </c>
      <c r="C76" s="514">
        <v>76.150000000000006</v>
      </c>
      <c r="D76" s="515"/>
      <c r="E76" s="516">
        <v>83.23</v>
      </c>
      <c r="F76" s="517"/>
      <c r="G76" s="518">
        <v>89.54</v>
      </c>
      <c r="H76" s="515"/>
      <c r="I76" s="519">
        <v>96.06</v>
      </c>
      <c r="J76" s="517"/>
      <c r="K76" s="518">
        <v>103.35</v>
      </c>
      <c r="L76" s="515"/>
      <c r="M76" s="519">
        <v>110.87</v>
      </c>
      <c r="N76" s="517"/>
      <c r="O76" s="552">
        <v>119.28</v>
      </c>
      <c r="P76" s="515"/>
      <c r="Q76" s="504"/>
      <c r="R76" s="521">
        <f t="shared" ref="R76:R91" si="3">SUM(C76*D76+E76*F76+G76*H76+I76*J76+K76*L76+M76*+N76+O76*P76)</f>
        <v>0</v>
      </c>
    </row>
    <row r="77" spans="2:18" ht="15" x14ac:dyDescent="0.2">
      <c r="B77" s="522" t="s">
        <v>779</v>
      </c>
      <c r="C77" s="523">
        <v>205.42</v>
      </c>
      <c r="D77" s="524"/>
      <c r="E77" s="525">
        <v>224.08</v>
      </c>
      <c r="F77" s="526"/>
      <c r="G77" s="527">
        <v>241.97</v>
      </c>
      <c r="H77" s="524"/>
      <c r="I77" s="528">
        <v>261.52999999999997</v>
      </c>
      <c r="J77" s="526"/>
      <c r="K77" s="527">
        <v>282.41000000000003</v>
      </c>
      <c r="L77" s="524"/>
      <c r="M77" s="528">
        <v>305.24</v>
      </c>
      <c r="N77" s="526"/>
      <c r="O77" s="553">
        <v>329.62</v>
      </c>
      <c r="P77" s="524"/>
      <c r="Q77" s="530"/>
      <c r="R77" s="531">
        <f t="shared" si="3"/>
        <v>0</v>
      </c>
    </row>
    <row r="78" spans="2:18" ht="15" x14ac:dyDescent="0.2">
      <c r="B78" s="522" t="s">
        <v>684</v>
      </c>
      <c r="C78" s="523">
        <v>285.14999999999998</v>
      </c>
      <c r="D78" s="524"/>
      <c r="E78" s="525">
        <v>307.44</v>
      </c>
      <c r="F78" s="526"/>
      <c r="G78" s="527">
        <v>331.46</v>
      </c>
      <c r="H78" s="524"/>
      <c r="I78" s="528">
        <v>357.36</v>
      </c>
      <c r="J78" s="526"/>
      <c r="K78" s="527">
        <v>385.28</v>
      </c>
      <c r="L78" s="524"/>
      <c r="M78" s="528">
        <v>415.38</v>
      </c>
      <c r="N78" s="526"/>
      <c r="O78" s="553">
        <v>447.84</v>
      </c>
      <c r="P78" s="524"/>
      <c r="Q78" s="530"/>
      <c r="R78" s="531">
        <f t="shared" si="3"/>
        <v>0</v>
      </c>
    </row>
    <row r="79" spans="2:18" ht="15" x14ac:dyDescent="0.2">
      <c r="B79" s="522" t="s">
        <v>682</v>
      </c>
      <c r="C79" s="523">
        <v>183.71</v>
      </c>
      <c r="D79" s="524"/>
      <c r="E79" s="525">
        <v>200.22</v>
      </c>
      <c r="F79" s="526"/>
      <c r="G79" s="527">
        <v>215.8</v>
      </c>
      <c r="H79" s="524"/>
      <c r="I79" s="528">
        <v>233.03</v>
      </c>
      <c r="J79" s="526"/>
      <c r="K79" s="527">
        <v>251.17</v>
      </c>
      <c r="L79" s="524"/>
      <c r="M79" s="528">
        <v>271.23</v>
      </c>
      <c r="N79" s="526"/>
      <c r="O79" s="553">
        <v>292.33999999999997</v>
      </c>
      <c r="P79" s="524"/>
      <c r="Q79" s="530"/>
      <c r="R79" s="531">
        <f t="shared" si="3"/>
        <v>0</v>
      </c>
    </row>
    <row r="80" spans="2:18" ht="15" x14ac:dyDescent="0.2">
      <c r="B80" s="522" t="s">
        <v>683</v>
      </c>
      <c r="C80" s="523">
        <v>263.77999999999997</v>
      </c>
      <c r="D80" s="524"/>
      <c r="E80" s="525">
        <v>287.74</v>
      </c>
      <c r="F80" s="526"/>
      <c r="G80" s="527">
        <v>312.44</v>
      </c>
      <c r="H80" s="524"/>
      <c r="I80" s="528">
        <v>337.7</v>
      </c>
      <c r="J80" s="526"/>
      <c r="K80" s="527">
        <v>366.69</v>
      </c>
      <c r="L80" s="524"/>
      <c r="M80" s="528">
        <v>396.33</v>
      </c>
      <c r="N80" s="526"/>
      <c r="O80" s="553">
        <v>430.36</v>
      </c>
      <c r="P80" s="524"/>
      <c r="Q80" s="530"/>
      <c r="R80" s="531">
        <f t="shared" si="3"/>
        <v>0</v>
      </c>
    </row>
    <row r="81" spans="2:18" ht="15" x14ac:dyDescent="0.2">
      <c r="B81" s="522" t="s">
        <v>766</v>
      </c>
      <c r="C81" s="523">
        <v>413.37</v>
      </c>
      <c r="D81" s="524"/>
      <c r="E81" s="525">
        <v>445.66</v>
      </c>
      <c r="F81" s="526"/>
      <c r="G81" s="527">
        <v>480.49</v>
      </c>
      <c r="H81" s="524"/>
      <c r="I81" s="528">
        <v>518.03</v>
      </c>
      <c r="J81" s="526"/>
      <c r="K81" s="527">
        <v>558.51</v>
      </c>
      <c r="L81" s="524"/>
      <c r="M81" s="528">
        <v>602.14</v>
      </c>
      <c r="N81" s="526"/>
      <c r="O81" s="553">
        <v>649.19000000000005</v>
      </c>
      <c r="P81" s="524"/>
      <c r="Q81" s="530"/>
      <c r="R81" s="531">
        <f t="shared" si="3"/>
        <v>0</v>
      </c>
    </row>
    <row r="82" spans="2:18" ht="15" x14ac:dyDescent="0.2">
      <c r="B82" s="522" t="s">
        <v>767</v>
      </c>
      <c r="C82" s="523">
        <v>294.62</v>
      </c>
      <c r="D82" s="524"/>
      <c r="E82" s="525">
        <v>321.39</v>
      </c>
      <c r="F82" s="526"/>
      <c r="G82" s="527">
        <v>348.97</v>
      </c>
      <c r="H82" s="524"/>
      <c r="I82" s="528">
        <v>377.19</v>
      </c>
      <c r="J82" s="526"/>
      <c r="K82" s="527">
        <v>409.56</v>
      </c>
      <c r="L82" s="524"/>
      <c r="M82" s="528">
        <v>442.67</v>
      </c>
      <c r="N82" s="526"/>
      <c r="O82" s="553">
        <v>480.67</v>
      </c>
      <c r="P82" s="524"/>
      <c r="Q82" s="530"/>
      <c r="R82" s="531">
        <f t="shared" si="3"/>
        <v>0</v>
      </c>
    </row>
    <row r="83" spans="2:18" ht="15" x14ac:dyDescent="0.2">
      <c r="B83" s="522" t="s">
        <v>778</v>
      </c>
      <c r="C83" s="523">
        <v>227.62</v>
      </c>
      <c r="D83" s="524"/>
      <c r="E83" s="525">
        <v>246.03</v>
      </c>
      <c r="F83" s="526"/>
      <c r="G83" s="527">
        <v>265.67</v>
      </c>
      <c r="H83" s="524"/>
      <c r="I83" s="528">
        <v>287.14999999999998</v>
      </c>
      <c r="J83" s="526"/>
      <c r="K83" s="527">
        <v>310.07</v>
      </c>
      <c r="L83" s="524"/>
      <c r="M83" s="528">
        <v>335.14</v>
      </c>
      <c r="N83" s="526"/>
      <c r="O83" s="553">
        <v>361.89</v>
      </c>
      <c r="P83" s="524"/>
      <c r="Q83" s="530"/>
      <c r="R83" s="531">
        <f t="shared" si="3"/>
        <v>0</v>
      </c>
    </row>
    <row r="84" spans="2:18" ht="15" x14ac:dyDescent="0.2">
      <c r="B84" s="522" t="s">
        <v>780</v>
      </c>
      <c r="C84" s="523">
        <v>227.62</v>
      </c>
      <c r="D84" s="524"/>
      <c r="E84" s="525">
        <v>246.03</v>
      </c>
      <c r="F84" s="526"/>
      <c r="G84" s="527">
        <v>265.67</v>
      </c>
      <c r="H84" s="524"/>
      <c r="I84" s="528">
        <v>287.14999999999998</v>
      </c>
      <c r="J84" s="526"/>
      <c r="K84" s="527">
        <v>310.07</v>
      </c>
      <c r="L84" s="524"/>
      <c r="M84" s="528">
        <v>335.14</v>
      </c>
      <c r="N84" s="526"/>
      <c r="O84" s="553">
        <v>361.89</v>
      </c>
      <c r="P84" s="524"/>
      <c r="Q84" s="530"/>
      <c r="R84" s="531">
        <f t="shared" si="3"/>
        <v>0</v>
      </c>
    </row>
    <row r="85" spans="2:18" ht="15" x14ac:dyDescent="0.2">
      <c r="B85" s="522" t="s">
        <v>685</v>
      </c>
      <c r="C85" s="523">
        <v>207.83</v>
      </c>
      <c r="D85" s="524"/>
      <c r="E85" s="525">
        <v>224.43</v>
      </c>
      <c r="F85" s="526"/>
      <c r="G85" s="527">
        <v>241.9</v>
      </c>
      <c r="H85" s="524"/>
      <c r="I85" s="528">
        <v>261.20999999999998</v>
      </c>
      <c r="J85" s="526"/>
      <c r="K85" s="527">
        <v>281.54000000000002</v>
      </c>
      <c r="L85" s="524"/>
      <c r="M85" s="528">
        <v>304.02</v>
      </c>
      <c r="N85" s="526"/>
      <c r="O85" s="553">
        <v>327.68</v>
      </c>
      <c r="P85" s="524"/>
      <c r="Q85" s="530"/>
      <c r="R85" s="531">
        <f t="shared" si="3"/>
        <v>0</v>
      </c>
    </row>
    <row r="86" spans="2:18" ht="15" x14ac:dyDescent="0.2">
      <c r="B86" s="522" t="s">
        <v>681</v>
      </c>
      <c r="C86" s="523">
        <v>120.26</v>
      </c>
      <c r="D86" s="524"/>
      <c r="E86" s="525">
        <v>129.02000000000001</v>
      </c>
      <c r="F86" s="526"/>
      <c r="G86" s="527">
        <v>138.80000000000001</v>
      </c>
      <c r="H86" s="524"/>
      <c r="I86" s="528">
        <v>148.91</v>
      </c>
      <c r="J86" s="526"/>
      <c r="K86" s="527">
        <v>160.21</v>
      </c>
      <c r="L86" s="524"/>
      <c r="M86" s="528">
        <v>171.88</v>
      </c>
      <c r="N86" s="526"/>
      <c r="O86" s="553">
        <v>184.91</v>
      </c>
      <c r="P86" s="524"/>
      <c r="Q86" s="530"/>
      <c r="R86" s="531">
        <f t="shared" si="3"/>
        <v>0</v>
      </c>
    </row>
    <row r="87" spans="2:18" ht="15" x14ac:dyDescent="0.2">
      <c r="B87" s="522" t="s">
        <v>768</v>
      </c>
      <c r="C87" s="523">
        <v>32.4</v>
      </c>
      <c r="D87" s="524"/>
      <c r="E87" s="525">
        <v>35.340000000000003</v>
      </c>
      <c r="F87" s="526"/>
      <c r="G87" s="527">
        <v>38.520000000000003</v>
      </c>
      <c r="H87" s="524"/>
      <c r="I87" s="528">
        <v>42.01</v>
      </c>
      <c r="J87" s="526"/>
      <c r="K87" s="527">
        <v>45.79</v>
      </c>
      <c r="L87" s="524"/>
      <c r="M87" s="528">
        <v>49.95</v>
      </c>
      <c r="N87" s="526"/>
      <c r="O87" s="553">
        <v>54.44</v>
      </c>
      <c r="P87" s="524"/>
      <c r="Q87" s="530"/>
      <c r="R87" s="531">
        <f t="shared" si="3"/>
        <v>0</v>
      </c>
    </row>
    <row r="88" spans="2:18" ht="15" x14ac:dyDescent="0.2">
      <c r="B88" s="522" t="s">
        <v>769</v>
      </c>
      <c r="C88" s="523">
        <v>103.18</v>
      </c>
      <c r="D88" s="524"/>
      <c r="E88" s="525">
        <v>111.52</v>
      </c>
      <c r="F88" s="526"/>
      <c r="G88" s="527">
        <v>120.42</v>
      </c>
      <c r="H88" s="524"/>
      <c r="I88" s="528">
        <v>130.16</v>
      </c>
      <c r="J88" s="526"/>
      <c r="K88" s="527">
        <v>140.55000000000001</v>
      </c>
      <c r="L88" s="524"/>
      <c r="M88" s="528">
        <v>151.91</v>
      </c>
      <c r="N88" s="526"/>
      <c r="O88" s="553">
        <v>164.04</v>
      </c>
      <c r="P88" s="524"/>
      <c r="Q88" s="530"/>
      <c r="R88" s="531">
        <f t="shared" si="3"/>
        <v>0</v>
      </c>
    </row>
    <row r="89" spans="2:18" ht="15" x14ac:dyDescent="0.2">
      <c r="B89" s="522" t="s">
        <v>770</v>
      </c>
      <c r="C89" s="523">
        <v>31.99</v>
      </c>
      <c r="D89" s="524"/>
      <c r="E89" s="525">
        <v>34.32</v>
      </c>
      <c r="F89" s="526"/>
      <c r="G89" s="527">
        <v>36.92</v>
      </c>
      <c r="H89" s="524"/>
      <c r="I89" s="528">
        <v>39.61</v>
      </c>
      <c r="J89" s="526"/>
      <c r="K89" s="527">
        <v>42.61</v>
      </c>
      <c r="L89" s="524"/>
      <c r="M89" s="528">
        <v>45.72</v>
      </c>
      <c r="N89" s="526"/>
      <c r="O89" s="553">
        <v>49.18</v>
      </c>
      <c r="P89" s="524"/>
      <c r="Q89" s="530"/>
      <c r="R89" s="531">
        <f t="shared" si="3"/>
        <v>0</v>
      </c>
    </row>
    <row r="90" spans="2:18" ht="15" x14ac:dyDescent="0.2">
      <c r="B90" s="522" t="s">
        <v>771</v>
      </c>
      <c r="C90" s="523">
        <v>48</v>
      </c>
      <c r="D90" s="524"/>
      <c r="E90" s="525">
        <v>48</v>
      </c>
      <c r="F90" s="526"/>
      <c r="G90" s="527">
        <v>48</v>
      </c>
      <c r="H90" s="524"/>
      <c r="I90" s="528">
        <v>48</v>
      </c>
      <c r="J90" s="526"/>
      <c r="K90" s="527">
        <v>48</v>
      </c>
      <c r="L90" s="524"/>
      <c r="M90" s="528">
        <v>48</v>
      </c>
      <c r="N90" s="526"/>
      <c r="O90" s="553">
        <v>48</v>
      </c>
      <c r="P90" s="524"/>
      <c r="Q90" s="530"/>
      <c r="R90" s="531">
        <f t="shared" si="3"/>
        <v>0</v>
      </c>
    </row>
    <row r="91" spans="2:18" ht="15" x14ac:dyDescent="0.2">
      <c r="B91" s="522" t="s">
        <v>39</v>
      </c>
      <c r="C91" s="523"/>
      <c r="D91" s="524"/>
      <c r="E91" s="525"/>
      <c r="F91" s="526"/>
      <c r="G91" s="527"/>
      <c r="H91" s="524"/>
      <c r="I91" s="528"/>
      <c r="J91" s="526"/>
      <c r="K91" s="527"/>
      <c r="L91" s="524"/>
      <c r="M91" s="528"/>
      <c r="N91" s="526"/>
      <c r="O91" s="553"/>
      <c r="P91" s="524"/>
      <c r="Q91" s="530"/>
      <c r="R91" s="531">
        <f t="shared" si="3"/>
        <v>0</v>
      </c>
    </row>
    <row r="92" spans="2:18" ht="15" x14ac:dyDescent="0.2">
      <c r="B92" s="532"/>
      <c r="C92" s="533"/>
      <c r="D92" s="534"/>
      <c r="E92" s="534"/>
      <c r="F92" s="534"/>
      <c r="G92" s="534"/>
      <c r="H92" s="534"/>
      <c r="I92" s="534"/>
      <c r="J92" s="534"/>
      <c r="K92" s="534"/>
      <c r="L92" s="534"/>
      <c r="M92" s="534"/>
      <c r="N92" s="534"/>
      <c r="O92" s="529"/>
      <c r="P92" s="534"/>
      <c r="Q92" s="623" t="s">
        <v>799</v>
      </c>
      <c r="R92" s="540">
        <f>SUM(R75:R91)</f>
        <v>0</v>
      </c>
    </row>
    <row r="93" spans="2:18" ht="15" x14ac:dyDescent="0.2">
      <c r="B93" s="522" t="s">
        <v>687</v>
      </c>
      <c r="C93" s="536"/>
      <c r="D93" s="537"/>
      <c r="E93" s="537"/>
      <c r="F93" s="537"/>
      <c r="G93" s="537"/>
      <c r="H93" s="537"/>
      <c r="I93" s="537"/>
      <c r="J93" s="537"/>
      <c r="K93" s="537"/>
      <c r="L93" s="537"/>
      <c r="M93" s="537"/>
      <c r="N93" s="537"/>
      <c r="O93" s="538"/>
      <c r="P93" s="537"/>
      <c r="Q93" s="539">
        <v>0.15</v>
      </c>
      <c r="R93" s="540">
        <f>SUM(R92*0.15)</f>
        <v>0</v>
      </c>
    </row>
    <row r="94" spans="2:18" ht="16" thickBot="1" x14ac:dyDescent="0.25">
      <c r="B94" s="541"/>
      <c r="C94" s="542"/>
      <c r="D94" s="543"/>
      <c r="E94" s="543"/>
      <c r="F94" s="543"/>
      <c r="G94" s="543"/>
      <c r="H94" s="543"/>
      <c r="I94" s="543"/>
      <c r="J94" s="543"/>
      <c r="K94" s="543"/>
      <c r="L94" s="543"/>
      <c r="M94" s="543"/>
      <c r="N94" s="543"/>
      <c r="O94" s="544"/>
      <c r="P94" s="543"/>
      <c r="Q94" s="545" t="s">
        <v>14</v>
      </c>
      <c r="R94" s="546">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0" tint="-0.249977111117893"/>
  </sheetPr>
  <dimension ref="B1:V94"/>
  <sheetViews>
    <sheetView zoomScale="90" zoomScaleNormal="90" workbookViewId="0">
      <selection activeCell="U9" sqref="U9"/>
    </sheetView>
  </sheetViews>
  <sheetFormatPr baseColWidth="10" defaultColWidth="8.83203125" defaultRowHeight="13" x14ac:dyDescent="0.15"/>
  <cols>
    <col min="2" max="2" width="13" customWidth="1"/>
    <col min="3" max="3" width="10.1640625" customWidth="1"/>
    <col min="5" max="5" width="10.5" customWidth="1"/>
    <col min="7" max="7" width="10.5" customWidth="1"/>
    <col min="9" max="9" width="10.33203125" customWidth="1"/>
    <col min="11" max="11" width="10.5" customWidth="1"/>
    <col min="13" max="13" width="10.5" customWidth="1"/>
    <col min="15" max="15" width="10.1640625" customWidth="1"/>
    <col min="16" max="16" width="9.1640625" style="500"/>
    <col min="18" max="18" width="13.1640625" customWidth="1"/>
    <col min="20" max="20" width="8.83203125" style="500"/>
    <col min="21" max="21" width="5.6640625" customWidth="1"/>
    <col min="22" max="22" width="12.33203125" customWidth="1"/>
    <col min="23" max="23" width="11.5" customWidth="1"/>
  </cols>
  <sheetData>
    <row r="1" spans="2:22" ht="14" thickBot="1" x14ac:dyDescent="0.2"/>
    <row r="2" spans="2:22" ht="16" thickBot="1" x14ac:dyDescent="0.25">
      <c r="B2" s="1087" t="s">
        <v>690</v>
      </c>
      <c r="C2" s="1088"/>
      <c r="D2" s="1088"/>
      <c r="E2" s="1089"/>
      <c r="G2" s="567" t="s">
        <v>678</v>
      </c>
      <c r="H2" s="1087" t="str">
        <f>IF(CANOPY!G3="","",CANOPY!G3)</f>
        <v/>
      </c>
      <c r="I2" s="1088"/>
      <c r="J2" s="1088"/>
      <c r="K2" s="1088"/>
      <c r="L2" s="1089"/>
      <c r="M2" s="568" t="s">
        <v>679</v>
      </c>
      <c r="N2" s="1087" t="str">
        <f>IF(CANOPY!C3="","",CANOPY!C3)</f>
        <v/>
      </c>
      <c r="O2" s="1089"/>
      <c r="Q2" s="501"/>
      <c r="R2" s="554" t="s">
        <v>14</v>
      </c>
      <c r="T2" s="946" t="s">
        <v>1386</v>
      </c>
      <c r="U2" s="947"/>
      <c r="V2" s="948"/>
    </row>
    <row r="3" spans="2:22" ht="14" thickBot="1" x14ac:dyDescent="0.2">
      <c r="B3" s="1090" t="s">
        <v>850</v>
      </c>
      <c r="C3" s="1090"/>
      <c r="D3" s="1090"/>
      <c r="E3" s="1090"/>
      <c r="F3" s="1090"/>
      <c r="G3" s="1090"/>
      <c r="H3" s="1090"/>
      <c r="I3" s="1090"/>
      <c r="J3" s="1090"/>
      <c r="K3" s="1090"/>
      <c r="L3" s="1090"/>
      <c r="M3" s="1090"/>
      <c r="N3" s="1090"/>
      <c r="O3" s="1090"/>
      <c r="R3" s="555">
        <f>R25+R48+R71+R94</f>
        <v>0</v>
      </c>
      <c r="T3" s="945" t="s">
        <v>731</v>
      </c>
      <c r="U3" s="945" t="s">
        <v>537</v>
      </c>
      <c r="V3" s="944"/>
    </row>
    <row r="4" spans="2:22" ht="14" thickBot="1" x14ac:dyDescent="0.2">
      <c r="T4" s="617">
        <v>2017</v>
      </c>
      <c r="U4" s="618">
        <v>0.03</v>
      </c>
      <c r="V4" s="619" t="s">
        <v>758</v>
      </c>
    </row>
    <row r="5" spans="2:22" ht="15" x14ac:dyDescent="0.2">
      <c r="C5" s="502" t="s">
        <v>77</v>
      </c>
      <c r="D5" s="503" t="s">
        <v>680</v>
      </c>
      <c r="E5" s="503" t="s">
        <v>77</v>
      </c>
      <c r="F5" s="503" t="s">
        <v>680</v>
      </c>
      <c r="G5" s="503" t="s">
        <v>77</v>
      </c>
      <c r="H5" s="503" t="s">
        <v>680</v>
      </c>
      <c r="I5" s="503" t="s">
        <v>77</v>
      </c>
      <c r="J5" s="503" t="s">
        <v>680</v>
      </c>
      <c r="K5" s="503" t="s">
        <v>77</v>
      </c>
      <c r="L5" s="503" t="s">
        <v>680</v>
      </c>
      <c r="M5" s="503" t="s">
        <v>77</v>
      </c>
      <c r="N5" s="503" t="s">
        <v>680</v>
      </c>
      <c r="O5" s="503"/>
      <c r="P5" s="503"/>
      <c r="Q5" s="504"/>
      <c r="R5" s="505" t="s">
        <v>87</v>
      </c>
      <c r="T5" s="939">
        <v>2024</v>
      </c>
      <c r="U5" s="940">
        <v>0.4</v>
      </c>
      <c r="V5" s="949">
        <f>R3*U5+R3</f>
        <v>0</v>
      </c>
    </row>
    <row r="6" spans="2:22" ht="16" thickBot="1" x14ac:dyDescent="0.25">
      <c r="C6" s="506" t="s">
        <v>772</v>
      </c>
      <c r="D6" s="507"/>
      <c r="E6" s="508" t="s">
        <v>773</v>
      </c>
      <c r="F6" s="507"/>
      <c r="G6" s="509" t="s">
        <v>774</v>
      </c>
      <c r="H6" s="507"/>
      <c r="I6" s="508" t="s">
        <v>775</v>
      </c>
      <c r="J6" s="507"/>
      <c r="K6" s="509" t="s">
        <v>776</v>
      </c>
      <c r="L6" s="507"/>
      <c r="M6" s="508" t="s">
        <v>777</v>
      </c>
      <c r="N6" s="507"/>
      <c r="O6" s="510"/>
      <c r="P6" s="507"/>
      <c r="Q6" s="511"/>
      <c r="R6" s="512"/>
    </row>
    <row r="7" spans="2:22" ht="15" x14ac:dyDescent="0.2">
      <c r="B7" s="513" t="s">
        <v>765</v>
      </c>
      <c r="C7" s="514">
        <v>17.829999999999998</v>
      </c>
      <c r="D7" s="515"/>
      <c r="E7" s="516">
        <v>19.649999999999999</v>
      </c>
      <c r="F7" s="517"/>
      <c r="G7" s="518">
        <v>21.66</v>
      </c>
      <c r="H7" s="515"/>
      <c r="I7" s="519">
        <v>23.3</v>
      </c>
      <c r="J7" s="517"/>
      <c r="K7" s="518">
        <v>25</v>
      </c>
      <c r="L7" s="515"/>
      <c r="M7" s="519">
        <v>26.9</v>
      </c>
      <c r="N7" s="517"/>
      <c r="O7" s="520"/>
      <c r="P7" s="622"/>
      <c r="Q7" s="504"/>
      <c r="R7" s="521">
        <f>SUM(C7*D7+E7*F7+G7*H7+I7*J7+K7*L7+M7*+N7+O7*P7)</f>
        <v>0</v>
      </c>
    </row>
    <row r="8" spans="2:22" ht="15" x14ac:dyDescent="0.2">
      <c r="B8" s="522" t="s">
        <v>779</v>
      </c>
      <c r="C8" s="523">
        <v>41.24</v>
      </c>
      <c r="D8" s="524"/>
      <c r="E8" s="525">
        <v>47.3</v>
      </c>
      <c r="F8" s="526"/>
      <c r="G8" s="527">
        <v>54.24</v>
      </c>
      <c r="H8" s="524"/>
      <c r="I8" s="528">
        <v>58.57</v>
      </c>
      <c r="J8" s="526"/>
      <c r="K8" s="527">
        <v>63.31</v>
      </c>
      <c r="L8" s="524"/>
      <c r="M8" s="528">
        <v>68.36</v>
      </c>
      <c r="N8" s="526"/>
      <c r="O8" s="529"/>
      <c r="P8" s="534"/>
      <c r="Q8" s="530"/>
      <c r="R8" s="531">
        <f t="shared" ref="R8:R22" si="0">SUM(C8*D8+E8*F8+G8*H8+I8*J8+K8*L8+M8*+N8+O8*P8)</f>
        <v>0</v>
      </c>
    </row>
    <row r="9" spans="2:22" ht="15" x14ac:dyDescent="0.2">
      <c r="B9" s="522" t="s">
        <v>684</v>
      </c>
      <c r="C9" s="523">
        <v>46.36</v>
      </c>
      <c r="D9" s="524"/>
      <c r="E9" s="525">
        <v>51.97</v>
      </c>
      <c r="F9" s="526"/>
      <c r="G9" s="527">
        <v>58.26</v>
      </c>
      <c r="H9" s="524"/>
      <c r="I9" s="528">
        <v>62.91</v>
      </c>
      <c r="J9" s="526"/>
      <c r="K9" s="527">
        <v>84.58</v>
      </c>
      <c r="L9" s="524"/>
      <c r="M9" s="528">
        <v>91.19</v>
      </c>
      <c r="N9" s="526"/>
      <c r="O9" s="529"/>
      <c r="P9" s="534"/>
      <c r="Q9" s="530"/>
      <c r="R9" s="531">
        <f t="shared" si="0"/>
        <v>0</v>
      </c>
    </row>
    <row r="10" spans="2:22" ht="15" x14ac:dyDescent="0.2">
      <c r="B10" s="522" t="s">
        <v>682</v>
      </c>
      <c r="C10" s="523">
        <v>39.54</v>
      </c>
      <c r="D10" s="524"/>
      <c r="E10" s="525">
        <v>44.32</v>
      </c>
      <c r="F10" s="526"/>
      <c r="G10" s="527">
        <v>49.69</v>
      </c>
      <c r="H10" s="524"/>
      <c r="I10" s="528">
        <v>53.56</v>
      </c>
      <c r="J10" s="526"/>
      <c r="K10" s="527">
        <v>57.83</v>
      </c>
      <c r="L10" s="524"/>
      <c r="M10" s="528">
        <v>62.34</v>
      </c>
      <c r="N10" s="526"/>
      <c r="O10" s="529"/>
      <c r="P10" s="534"/>
      <c r="Q10" s="530"/>
      <c r="R10" s="531">
        <f t="shared" si="0"/>
        <v>0</v>
      </c>
    </row>
    <row r="11" spans="2:22" ht="15" x14ac:dyDescent="0.2">
      <c r="B11" s="522" t="s">
        <v>683</v>
      </c>
      <c r="C11" s="523">
        <v>48.83</v>
      </c>
      <c r="D11" s="524"/>
      <c r="E11" s="525">
        <v>56</v>
      </c>
      <c r="F11" s="526"/>
      <c r="G11" s="527">
        <v>64.22</v>
      </c>
      <c r="H11" s="524"/>
      <c r="I11" s="528">
        <v>69.349999999999994</v>
      </c>
      <c r="J11" s="526"/>
      <c r="K11" s="527">
        <v>75.650000000000006</v>
      </c>
      <c r="L11" s="524"/>
      <c r="M11" s="528">
        <v>82.14</v>
      </c>
      <c r="N11" s="526"/>
      <c r="O11" s="529"/>
      <c r="P11" s="534"/>
      <c r="Q11" s="530"/>
      <c r="R11" s="531">
        <f t="shared" si="0"/>
        <v>0</v>
      </c>
    </row>
    <row r="12" spans="2:22" ht="15" x14ac:dyDescent="0.2">
      <c r="B12" s="522" t="s">
        <v>766</v>
      </c>
      <c r="C12" s="523">
        <v>68.13</v>
      </c>
      <c r="D12" s="524"/>
      <c r="E12" s="525">
        <v>78.13</v>
      </c>
      <c r="F12" s="526"/>
      <c r="G12" s="527">
        <v>89.6</v>
      </c>
      <c r="H12" s="524"/>
      <c r="I12" s="528">
        <v>96.75</v>
      </c>
      <c r="J12" s="526"/>
      <c r="K12" s="527">
        <v>130.08000000000001</v>
      </c>
      <c r="L12" s="524"/>
      <c r="M12" s="528">
        <v>140.25</v>
      </c>
      <c r="N12" s="526"/>
      <c r="O12" s="529"/>
      <c r="P12" s="534"/>
      <c r="Q12" s="530"/>
      <c r="R12" s="531">
        <f t="shared" si="0"/>
        <v>0</v>
      </c>
    </row>
    <row r="13" spans="2:22" ht="15" x14ac:dyDescent="0.2">
      <c r="B13" s="522" t="s">
        <v>767</v>
      </c>
      <c r="C13" s="523">
        <v>56.59</v>
      </c>
      <c r="D13" s="524"/>
      <c r="E13" s="525">
        <v>64.89</v>
      </c>
      <c r="F13" s="526"/>
      <c r="G13" s="527">
        <v>74.42</v>
      </c>
      <c r="H13" s="524"/>
      <c r="I13" s="528">
        <v>80.36</v>
      </c>
      <c r="J13" s="526"/>
      <c r="K13" s="527">
        <v>86.86</v>
      </c>
      <c r="L13" s="524"/>
      <c r="M13" s="528">
        <v>94.31</v>
      </c>
      <c r="N13" s="526"/>
      <c r="O13" s="529"/>
      <c r="P13" s="534"/>
      <c r="Q13" s="530"/>
      <c r="R13" s="531">
        <f t="shared" si="0"/>
        <v>0</v>
      </c>
    </row>
    <row r="14" spans="2:22" ht="15" x14ac:dyDescent="0.2">
      <c r="B14" s="522" t="s">
        <v>778</v>
      </c>
      <c r="C14" s="523">
        <v>46.55</v>
      </c>
      <c r="D14" s="524"/>
      <c r="E14" s="525">
        <v>53.38</v>
      </c>
      <c r="F14" s="526"/>
      <c r="G14" s="527">
        <v>61.22</v>
      </c>
      <c r="H14" s="524"/>
      <c r="I14" s="528">
        <v>66.11</v>
      </c>
      <c r="J14" s="526"/>
      <c r="K14" s="527">
        <v>71.45</v>
      </c>
      <c r="L14" s="524"/>
      <c r="M14" s="528">
        <v>77.16</v>
      </c>
      <c r="N14" s="526"/>
      <c r="O14" s="529"/>
      <c r="P14" s="534"/>
      <c r="Q14" s="530"/>
      <c r="R14" s="531">
        <f t="shared" si="0"/>
        <v>0</v>
      </c>
    </row>
    <row r="15" spans="2:22" ht="15" x14ac:dyDescent="0.2">
      <c r="B15" s="522" t="s">
        <v>780</v>
      </c>
      <c r="C15" s="523">
        <v>46.55</v>
      </c>
      <c r="D15" s="524"/>
      <c r="E15" s="525">
        <v>53.38</v>
      </c>
      <c r="F15" s="526"/>
      <c r="G15" s="527">
        <v>61.22</v>
      </c>
      <c r="H15" s="524"/>
      <c r="I15" s="528">
        <v>66.11</v>
      </c>
      <c r="J15" s="526"/>
      <c r="K15" s="527">
        <v>71.45</v>
      </c>
      <c r="L15" s="524"/>
      <c r="M15" s="528">
        <v>77.16</v>
      </c>
      <c r="N15" s="526"/>
      <c r="O15" s="529"/>
      <c r="P15" s="534"/>
      <c r="Q15" s="530"/>
      <c r="R15" s="531">
        <f t="shared" si="0"/>
        <v>0</v>
      </c>
    </row>
    <row r="16" spans="2:22" ht="15" x14ac:dyDescent="0.2">
      <c r="B16" s="522" t="s">
        <v>685</v>
      </c>
      <c r="C16" s="523">
        <v>45.56</v>
      </c>
      <c r="D16" s="524"/>
      <c r="E16" s="525">
        <v>51.08</v>
      </c>
      <c r="F16" s="526"/>
      <c r="G16" s="527">
        <v>57.26</v>
      </c>
      <c r="H16" s="524"/>
      <c r="I16" s="528">
        <v>61.72</v>
      </c>
      <c r="J16" s="526"/>
      <c r="K16" s="527">
        <v>66.64</v>
      </c>
      <c r="L16" s="524"/>
      <c r="M16" s="528">
        <v>71.83</v>
      </c>
      <c r="N16" s="526"/>
      <c r="O16" s="529"/>
      <c r="P16" s="534"/>
      <c r="Q16" s="530"/>
      <c r="R16" s="531">
        <f t="shared" si="0"/>
        <v>0</v>
      </c>
    </row>
    <row r="17" spans="2:18" ht="15" x14ac:dyDescent="0.2">
      <c r="B17" s="522" t="s">
        <v>681</v>
      </c>
      <c r="C17" s="523">
        <v>29.21</v>
      </c>
      <c r="D17" s="524"/>
      <c r="E17" s="525">
        <v>32.200000000000003</v>
      </c>
      <c r="F17" s="526"/>
      <c r="G17" s="527">
        <v>35.49</v>
      </c>
      <c r="H17" s="524"/>
      <c r="I17" s="528">
        <v>38.18</v>
      </c>
      <c r="J17" s="526"/>
      <c r="K17" s="527">
        <v>40.96</v>
      </c>
      <c r="L17" s="524"/>
      <c r="M17" s="528">
        <v>44.07</v>
      </c>
      <c r="N17" s="526"/>
      <c r="O17" s="529"/>
      <c r="P17" s="534"/>
      <c r="Q17" s="530"/>
      <c r="R17" s="531">
        <f t="shared" si="0"/>
        <v>0</v>
      </c>
    </row>
    <row r="18" spans="2:18" ht="15" x14ac:dyDescent="0.2">
      <c r="B18" s="522" t="s">
        <v>768</v>
      </c>
      <c r="C18" s="523">
        <v>5.66</v>
      </c>
      <c r="D18" s="524"/>
      <c r="E18" s="525">
        <v>6.5</v>
      </c>
      <c r="F18" s="526"/>
      <c r="G18" s="527">
        <v>7.45</v>
      </c>
      <c r="H18" s="524"/>
      <c r="I18" s="528">
        <v>8.1199999999999992</v>
      </c>
      <c r="J18" s="526"/>
      <c r="K18" s="527">
        <v>8.86</v>
      </c>
      <c r="L18" s="524"/>
      <c r="M18" s="528">
        <v>9.65</v>
      </c>
      <c r="N18" s="526"/>
      <c r="O18" s="529"/>
      <c r="P18" s="534"/>
      <c r="Q18" s="530"/>
      <c r="R18" s="531">
        <f t="shared" si="0"/>
        <v>0</v>
      </c>
    </row>
    <row r="19" spans="2:18" ht="15" x14ac:dyDescent="0.2">
      <c r="B19" s="522" t="s">
        <v>769</v>
      </c>
      <c r="C19" s="523">
        <v>21.1</v>
      </c>
      <c r="D19" s="524"/>
      <c r="E19" s="525">
        <v>24.2</v>
      </c>
      <c r="F19" s="526"/>
      <c r="G19" s="527">
        <v>27.75</v>
      </c>
      <c r="H19" s="524"/>
      <c r="I19" s="528">
        <v>29.97</v>
      </c>
      <c r="J19" s="526"/>
      <c r="K19" s="527">
        <v>32.39</v>
      </c>
      <c r="L19" s="524"/>
      <c r="M19" s="528">
        <v>34.97</v>
      </c>
      <c r="N19" s="526"/>
      <c r="O19" s="529"/>
      <c r="P19" s="534"/>
      <c r="Q19" s="530"/>
      <c r="R19" s="531">
        <f t="shared" si="0"/>
        <v>0</v>
      </c>
    </row>
    <row r="20" spans="2:18" ht="15" x14ac:dyDescent="0.2">
      <c r="B20" s="522" t="s">
        <v>770</v>
      </c>
      <c r="C20" s="523">
        <v>7.77</v>
      </c>
      <c r="D20" s="524"/>
      <c r="E20" s="525">
        <v>8.56</v>
      </c>
      <c r="F20" s="526"/>
      <c r="G20" s="527">
        <v>9.44</v>
      </c>
      <c r="H20" s="524"/>
      <c r="I20" s="528">
        <v>10.16</v>
      </c>
      <c r="J20" s="526"/>
      <c r="K20" s="527">
        <v>10.9</v>
      </c>
      <c r="L20" s="524"/>
      <c r="M20" s="528">
        <v>11.72</v>
      </c>
      <c r="N20" s="526"/>
      <c r="O20" s="529"/>
      <c r="P20" s="534"/>
      <c r="Q20" s="530"/>
      <c r="R20" s="531">
        <f t="shared" si="0"/>
        <v>0</v>
      </c>
    </row>
    <row r="21" spans="2:18" ht="15" x14ac:dyDescent="0.2">
      <c r="B21" s="522" t="s">
        <v>771</v>
      </c>
      <c r="C21" s="523">
        <v>25</v>
      </c>
      <c r="D21" s="524"/>
      <c r="E21" s="525">
        <v>25</v>
      </c>
      <c r="F21" s="526"/>
      <c r="G21" s="527">
        <v>28</v>
      </c>
      <c r="H21" s="524"/>
      <c r="I21" s="528">
        <v>28</v>
      </c>
      <c r="J21" s="526"/>
      <c r="K21" s="527">
        <v>30</v>
      </c>
      <c r="L21" s="524"/>
      <c r="M21" s="528">
        <v>32</v>
      </c>
      <c r="N21" s="526"/>
      <c r="O21" s="529"/>
      <c r="P21" s="534"/>
      <c r="Q21" s="530"/>
      <c r="R21" s="531">
        <f t="shared" si="0"/>
        <v>0</v>
      </c>
    </row>
    <row r="22" spans="2:18" ht="15" x14ac:dyDescent="0.2">
      <c r="B22" s="522" t="s">
        <v>39</v>
      </c>
      <c r="C22" s="523">
        <v>32.25</v>
      </c>
      <c r="D22" s="524"/>
      <c r="E22" s="525">
        <v>35.4</v>
      </c>
      <c r="F22" s="526"/>
      <c r="G22" s="527">
        <v>40.159999999999997</v>
      </c>
      <c r="H22" s="524"/>
      <c r="I22" s="528">
        <v>45.11</v>
      </c>
      <c r="J22" s="526"/>
      <c r="K22" s="527">
        <v>48.76</v>
      </c>
      <c r="L22" s="524"/>
      <c r="M22" s="528">
        <v>53.19</v>
      </c>
      <c r="N22" s="526"/>
      <c r="O22" s="529"/>
      <c r="P22" s="534"/>
      <c r="Q22" s="530"/>
      <c r="R22" s="531">
        <f t="shared" si="0"/>
        <v>0</v>
      </c>
    </row>
    <row r="23" spans="2:18" ht="15" x14ac:dyDescent="0.2">
      <c r="B23" s="532"/>
      <c r="C23" s="533"/>
      <c r="D23" s="534"/>
      <c r="E23" s="534"/>
      <c r="F23" s="534"/>
      <c r="G23" s="534"/>
      <c r="H23" s="534"/>
      <c r="I23" s="534"/>
      <c r="J23" s="534"/>
      <c r="K23" s="534"/>
      <c r="L23" s="534"/>
      <c r="M23" s="534"/>
      <c r="N23" s="534"/>
      <c r="O23" s="529"/>
      <c r="P23" s="534"/>
      <c r="Q23" s="623" t="s">
        <v>799</v>
      </c>
      <c r="R23" s="531">
        <f>SUM(R7:R22)</f>
        <v>0</v>
      </c>
    </row>
    <row r="24" spans="2:18" ht="15" x14ac:dyDescent="0.2">
      <c r="B24" s="535" t="s">
        <v>686</v>
      </c>
      <c r="C24" s="536"/>
      <c r="D24" s="537"/>
      <c r="E24" s="537"/>
      <c r="F24" s="537"/>
      <c r="G24" s="537"/>
      <c r="H24" s="537"/>
      <c r="I24" s="537"/>
      <c r="J24" s="537"/>
      <c r="K24" s="537"/>
      <c r="L24" s="537"/>
      <c r="M24" s="537"/>
      <c r="N24" s="537"/>
      <c r="O24" s="538"/>
      <c r="P24" s="537"/>
      <c r="Q24" s="539">
        <v>0.15</v>
      </c>
      <c r="R24" s="540">
        <f>SUM(R23*0.15)</f>
        <v>0</v>
      </c>
    </row>
    <row r="25" spans="2:18" ht="16" thickBot="1" x14ac:dyDescent="0.25">
      <c r="B25" s="541"/>
      <c r="C25" s="542"/>
      <c r="D25" s="543"/>
      <c r="E25" s="543"/>
      <c r="F25" s="543"/>
      <c r="G25" s="543"/>
      <c r="H25" s="543"/>
      <c r="I25" s="543"/>
      <c r="J25" s="543"/>
      <c r="K25" s="543"/>
      <c r="L25" s="543"/>
      <c r="M25" s="543"/>
      <c r="N25" s="543"/>
      <c r="O25" s="544"/>
      <c r="P25" s="543"/>
      <c r="Q25" s="545" t="s">
        <v>14</v>
      </c>
      <c r="R25" s="546">
        <f>SUM(R23+R24)</f>
        <v>0</v>
      </c>
    </row>
    <row r="27" spans="2:18" ht="14" thickBot="1" x14ac:dyDescent="0.2"/>
    <row r="28" spans="2:18" ht="15" x14ac:dyDescent="0.2">
      <c r="C28" s="502" t="s">
        <v>77</v>
      </c>
      <c r="D28" s="503" t="s">
        <v>680</v>
      </c>
      <c r="E28" s="503" t="s">
        <v>77</v>
      </c>
      <c r="F28" s="503" t="s">
        <v>680</v>
      </c>
      <c r="G28" s="503" t="s">
        <v>77</v>
      </c>
      <c r="H28" s="503" t="s">
        <v>680</v>
      </c>
      <c r="I28" s="503" t="s">
        <v>77</v>
      </c>
      <c r="J28" s="503" t="s">
        <v>680</v>
      </c>
      <c r="K28" s="503" t="s">
        <v>77</v>
      </c>
      <c r="L28" s="503" t="s">
        <v>680</v>
      </c>
      <c r="M28" s="503" t="s">
        <v>77</v>
      </c>
      <c r="N28" s="547" t="s">
        <v>680</v>
      </c>
      <c r="O28" s="503"/>
      <c r="P28" s="503"/>
      <c r="Q28" s="504"/>
      <c r="R28" s="505" t="s">
        <v>87</v>
      </c>
    </row>
    <row r="29" spans="2:18" ht="16" thickBot="1" x14ac:dyDescent="0.25">
      <c r="C29" s="506" t="s">
        <v>781</v>
      </c>
      <c r="D29" s="507"/>
      <c r="E29" s="508" t="s">
        <v>782</v>
      </c>
      <c r="F29" s="507"/>
      <c r="G29" s="509" t="s">
        <v>783</v>
      </c>
      <c r="H29" s="507"/>
      <c r="I29" s="508" t="s">
        <v>784</v>
      </c>
      <c r="J29" s="507"/>
      <c r="K29" s="509" t="s">
        <v>785</v>
      </c>
      <c r="L29" s="507"/>
      <c r="M29" s="508" t="s">
        <v>786</v>
      </c>
      <c r="N29" s="548"/>
      <c r="O29" s="510"/>
      <c r="P29" s="507"/>
      <c r="Q29" s="511"/>
      <c r="R29" s="512"/>
    </row>
    <row r="30" spans="2:18" ht="15" x14ac:dyDescent="0.2">
      <c r="B30" s="513" t="s">
        <v>765</v>
      </c>
      <c r="C30" s="514">
        <v>28.86</v>
      </c>
      <c r="D30" s="515"/>
      <c r="E30" s="516">
        <v>31.04</v>
      </c>
      <c r="F30" s="517"/>
      <c r="G30" s="518">
        <v>33.299999999999997</v>
      </c>
      <c r="H30" s="515"/>
      <c r="I30" s="519">
        <v>35.83</v>
      </c>
      <c r="J30" s="517"/>
      <c r="K30" s="518">
        <v>38.44</v>
      </c>
      <c r="L30" s="515"/>
      <c r="M30" s="519">
        <v>41.36</v>
      </c>
      <c r="N30" s="517"/>
      <c r="O30" s="520"/>
      <c r="P30" s="622"/>
      <c r="Q30" s="504"/>
      <c r="R30" s="521">
        <f t="shared" ref="R30:R45" si="1">SUM(C30*D30+E30*F30+G30*H30+I30*J30+K30*L30+M30*+N30+O30*P30)</f>
        <v>0</v>
      </c>
    </row>
    <row r="31" spans="2:18" ht="15" x14ac:dyDescent="0.2">
      <c r="B31" s="522" t="s">
        <v>779</v>
      </c>
      <c r="C31" s="523">
        <v>73.89</v>
      </c>
      <c r="D31" s="524"/>
      <c r="E31" s="525">
        <v>79.78</v>
      </c>
      <c r="F31" s="526"/>
      <c r="G31" s="527">
        <v>86.23</v>
      </c>
      <c r="H31" s="524"/>
      <c r="I31" s="528">
        <v>93.12</v>
      </c>
      <c r="J31" s="526"/>
      <c r="K31" s="527">
        <v>100.65</v>
      </c>
      <c r="L31" s="524"/>
      <c r="M31" s="528">
        <v>108.68</v>
      </c>
      <c r="N31" s="526"/>
      <c r="O31" s="529"/>
      <c r="P31" s="534"/>
      <c r="Q31" s="530"/>
      <c r="R31" s="531">
        <f t="shared" si="1"/>
        <v>0</v>
      </c>
    </row>
    <row r="32" spans="2:18" ht="15" x14ac:dyDescent="0.2">
      <c r="B32" s="522" t="s">
        <v>684</v>
      </c>
      <c r="C32" s="523">
        <v>98.32</v>
      </c>
      <c r="D32" s="524"/>
      <c r="E32" s="525">
        <v>106</v>
      </c>
      <c r="F32" s="526"/>
      <c r="G32" s="527">
        <v>114.28</v>
      </c>
      <c r="H32" s="524"/>
      <c r="I32" s="528">
        <v>123.21</v>
      </c>
      <c r="J32" s="526"/>
      <c r="K32" s="527">
        <v>132.84</v>
      </c>
      <c r="L32" s="524"/>
      <c r="M32" s="528">
        <v>143.22</v>
      </c>
      <c r="N32" s="526"/>
      <c r="O32" s="529"/>
      <c r="P32" s="534"/>
      <c r="Q32" s="530"/>
      <c r="R32" s="531">
        <f t="shared" si="1"/>
        <v>0</v>
      </c>
    </row>
    <row r="33" spans="2:18" ht="15" x14ac:dyDescent="0.2">
      <c r="B33" s="522" t="s">
        <v>682</v>
      </c>
      <c r="C33" s="523">
        <v>67.31</v>
      </c>
      <c r="D33" s="524"/>
      <c r="E33" s="525">
        <v>72.55</v>
      </c>
      <c r="F33" s="526"/>
      <c r="G33" s="527">
        <v>78.34</v>
      </c>
      <c r="H33" s="524"/>
      <c r="I33" s="528">
        <v>84.44</v>
      </c>
      <c r="J33" s="526"/>
      <c r="K33" s="527">
        <v>91.19</v>
      </c>
      <c r="L33" s="524"/>
      <c r="M33" s="528">
        <v>98.28</v>
      </c>
      <c r="N33" s="526"/>
      <c r="O33" s="529"/>
      <c r="P33" s="534"/>
      <c r="Q33" s="530"/>
      <c r="R33" s="531">
        <f t="shared" si="1"/>
        <v>0</v>
      </c>
    </row>
    <row r="34" spans="2:18" ht="15" x14ac:dyDescent="0.2">
      <c r="B34" s="522" t="s">
        <v>683</v>
      </c>
      <c r="C34" s="523">
        <v>89.6</v>
      </c>
      <c r="D34" s="524"/>
      <c r="E34" s="525">
        <v>97.29</v>
      </c>
      <c r="F34" s="526"/>
      <c r="G34" s="527">
        <v>106.13</v>
      </c>
      <c r="H34" s="524"/>
      <c r="I34" s="528">
        <v>115.24</v>
      </c>
      <c r="J34" s="526"/>
      <c r="K34" s="527">
        <v>125.71</v>
      </c>
      <c r="L34" s="524"/>
      <c r="M34" s="528">
        <v>136.5</v>
      </c>
      <c r="N34" s="526"/>
      <c r="O34" s="529"/>
      <c r="P34" s="534"/>
      <c r="Q34" s="530"/>
      <c r="R34" s="531">
        <f t="shared" si="1"/>
        <v>0</v>
      </c>
    </row>
    <row r="35" spans="2:18" ht="15" x14ac:dyDescent="0.2">
      <c r="B35" s="522" t="s">
        <v>766</v>
      </c>
      <c r="C35" s="523">
        <v>151.19999999999999</v>
      </c>
      <c r="D35" s="524"/>
      <c r="E35" s="525">
        <v>163.02000000000001</v>
      </c>
      <c r="F35" s="526"/>
      <c r="G35" s="527">
        <v>175.76</v>
      </c>
      <c r="H35" s="524"/>
      <c r="I35" s="528">
        <v>189.49</v>
      </c>
      <c r="J35" s="526"/>
      <c r="K35" s="620">
        <v>204.29</v>
      </c>
      <c r="L35" s="524"/>
      <c r="M35" s="528">
        <v>220.26</v>
      </c>
      <c r="N35" s="526"/>
      <c r="O35" s="529"/>
      <c r="P35" s="534"/>
      <c r="Q35" s="530"/>
      <c r="R35" s="531">
        <f t="shared" si="1"/>
        <v>0</v>
      </c>
    </row>
    <row r="36" spans="2:18" ht="15" x14ac:dyDescent="0.2">
      <c r="B36" s="522" t="s">
        <v>767</v>
      </c>
      <c r="C36" s="523">
        <v>101.94</v>
      </c>
      <c r="D36" s="524"/>
      <c r="E36" s="525">
        <v>110.69</v>
      </c>
      <c r="F36" s="526"/>
      <c r="G36" s="527">
        <v>119.64</v>
      </c>
      <c r="H36" s="524"/>
      <c r="I36" s="528">
        <v>129.91</v>
      </c>
      <c r="J36" s="526"/>
      <c r="K36" s="527">
        <v>140.41</v>
      </c>
      <c r="L36" s="524"/>
      <c r="M36" s="528">
        <v>152.46</v>
      </c>
      <c r="N36" s="526"/>
      <c r="O36" s="529"/>
      <c r="P36" s="534"/>
      <c r="Q36" s="530"/>
      <c r="R36" s="531">
        <f t="shared" si="1"/>
        <v>0</v>
      </c>
    </row>
    <row r="37" spans="2:18" ht="15" x14ac:dyDescent="0.2">
      <c r="B37" s="522" t="s">
        <v>778</v>
      </c>
      <c r="C37" s="523">
        <v>83.39</v>
      </c>
      <c r="D37" s="524"/>
      <c r="E37" s="525">
        <v>90.05</v>
      </c>
      <c r="F37" s="526"/>
      <c r="G37" s="527">
        <v>97.33</v>
      </c>
      <c r="H37" s="524"/>
      <c r="I37" s="528">
        <v>105.1</v>
      </c>
      <c r="J37" s="526"/>
      <c r="K37" s="527">
        <v>113.6</v>
      </c>
      <c r="L37" s="524"/>
      <c r="M37" s="528">
        <v>122.67</v>
      </c>
      <c r="N37" s="526"/>
      <c r="O37" s="529"/>
      <c r="P37" s="534"/>
      <c r="Q37" s="530"/>
      <c r="R37" s="531">
        <f t="shared" si="1"/>
        <v>0</v>
      </c>
    </row>
    <row r="38" spans="2:18" ht="15" x14ac:dyDescent="0.2">
      <c r="B38" s="522" t="s">
        <v>780</v>
      </c>
      <c r="C38" s="523">
        <v>83.39</v>
      </c>
      <c r="D38" s="524"/>
      <c r="E38" s="525">
        <v>90.05</v>
      </c>
      <c r="F38" s="526"/>
      <c r="G38" s="527">
        <v>97.33</v>
      </c>
      <c r="H38" s="524"/>
      <c r="I38" s="528">
        <v>105.1</v>
      </c>
      <c r="J38" s="526"/>
      <c r="K38" s="527">
        <v>113.6</v>
      </c>
      <c r="L38" s="524"/>
      <c r="M38" s="528">
        <v>122.67</v>
      </c>
      <c r="N38" s="526"/>
      <c r="O38" s="529"/>
      <c r="P38" s="534"/>
      <c r="Q38" s="530"/>
      <c r="R38" s="531">
        <f t="shared" si="1"/>
        <v>0</v>
      </c>
    </row>
    <row r="39" spans="2:18" ht="15" x14ac:dyDescent="0.2">
      <c r="B39" s="522" t="s">
        <v>685</v>
      </c>
      <c r="C39" s="523">
        <v>77.569999999999993</v>
      </c>
      <c r="D39" s="524"/>
      <c r="E39" s="621">
        <v>83.61</v>
      </c>
      <c r="F39" s="526"/>
      <c r="G39" s="527">
        <v>90.28</v>
      </c>
      <c r="H39" s="524"/>
      <c r="I39" s="528">
        <v>97.31</v>
      </c>
      <c r="J39" s="526"/>
      <c r="K39" s="527">
        <v>105.08</v>
      </c>
      <c r="L39" s="524"/>
      <c r="M39" s="528">
        <v>113.26</v>
      </c>
      <c r="N39" s="526"/>
      <c r="O39" s="529"/>
      <c r="P39" s="534"/>
      <c r="Q39" s="530"/>
      <c r="R39" s="531">
        <f t="shared" si="1"/>
        <v>0</v>
      </c>
    </row>
    <row r="40" spans="2:18" ht="15" x14ac:dyDescent="0.2">
      <c r="B40" s="522" t="s">
        <v>681</v>
      </c>
      <c r="C40" s="523">
        <v>47.28</v>
      </c>
      <c r="D40" s="524"/>
      <c r="E40" s="525">
        <v>50.86</v>
      </c>
      <c r="F40" s="526"/>
      <c r="G40" s="527">
        <v>54.57</v>
      </c>
      <c r="H40" s="524"/>
      <c r="I40" s="528">
        <v>58.71</v>
      </c>
      <c r="J40" s="526"/>
      <c r="K40" s="527">
        <v>62.98</v>
      </c>
      <c r="L40" s="524"/>
      <c r="M40" s="528">
        <v>67.760000000000005</v>
      </c>
      <c r="N40" s="526"/>
      <c r="O40" s="529"/>
      <c r="P40" s="534"/>
      <c r="Q40" s="530"/>
      <c r="R40" s="531">
        <f t="shared" si="1"/>
        <v>0</v>
      </c>
    </row>
    <row r="41" spans="2:18" ht="15" x14ac:dyDescent="0.2">
      <c r="B41" s="522" t="s">
        <v>768</v>
      </c>
      <c r="C41" s="523">
        <v>10.53</v>
      </c>
      <c r="D41" s="524"/>
      <c r="E41" s="525">
        <v>11.48</v>
      </c>
      <c r="F41" s="526"/>
      <c r="G41" s="527">
        <v>12.52</v>
      </c>
      <c r="H41" s="524"/>
      <c r="I41" s="528">
        <v>13.64</v>
      </c>
      <c r="J41" s="526"/>
      <c r="K41" s="527">
        <v>14.88</v>
      </c>
      <c r="L41" s="524"/>
      <c r="M41" s="528">
        <v>16.22</v>
      </c>
      <c r="N41" s="526"/>
      <c r="O41" s="529"/>
      <c r="P41" s="534"/>
      <c r="Q41" s="530"/>
      <c r="R41" s="531">
        <f t="shared" si="1"/>
        <v>0</v>
      </c>
    </row>
    <row r="42" spans="2:18" ht="15" x14ac:dyDescent="0.2">
      <c r="B42" s="522" t="s">
        <v>769</v>
      </c>
      <c r="C42" s="523">
        <v>37.799999999999997</v>
      </c>
      <c r="D42" s="524"/>
      <c r="E42" s="525">
        <v>40.82</v>
      </c>
      <c r="F42" s="526"/>
      <c r="G42" s="527">
        <v>44.12</v>
      </c>
      <c r="H42" s="524"/>
      <c r="I42" s="528">
        <v>47.64</v>
      </c>
      <c r="J42" s="526"/>
      <c r="K42" s="527">
        <v>51.49</v>
      </c>
      <c r="L42" s="524"/>
      <c r="M42" s="528">
        <v>55.6</v>
      </c>
      <c r="N42" s="526"/>
      <c r="O42" s="529"/>
      <c r="P42" s="534"/>
      <c r="Q42" s="530"/>
      <c r="R42" s="531">
        <f t="shared" si="1"/>
        <v>0</v>
      </c>
    </row>
    <row r="43" spans="2:18" ht="15" x14ac:dyDescent="0.2">
      <c r="B43" s="522" t="s">
        <v>770</v>
      </c>
      <c r="C43" s="523">
        <v>12.58</v>
      </c>
      <c r="D43" s="524"/>
      <c r="E43" s="525">
        <v>13.53</v>
      </c>
      <c r="F43" s="526"/>
      <c r="G43" s="527">
        <v>14.52</v>
      </c>
      <c r="H43" s="524"/>
      <c r="I43" s="528">
        <v>15.62</v>
      </c>
      <c r="J43" s="526"/>
      <c r="K43" s="527">
        <v>16.75</v>
      </c>
      <c r="L43" s="524"/>
      <c r="M43" s="528">
        <v>18.02</v>
      </c>
      <c r="N43" s="526"/>
      <c r="O43" s="529"/>
      <c r="P43" s="534"/>
      <c r="Q43" s="530"/>
      <c r="R43" s="531">
        <f t="shared" si="1"/>
        <v>0</v>
      </c>
    </row>
    <row r="44" spans="2:18" ht="15" x14ac:dyDescent="0.2">
      <c r="B44" s="522" t="s">
        <v>771</v>
      </c>
      <c r="C44" s="523">
        <v>35</v>
      </c>
      <c r="D44" s="524"/>
      <c r="E44" s="525">
        <v>48</v>
      </c>
      <c r="F44" s="526"/>
      <c r="G44" s="527">
        <v>48</v>
      </c>
      <c r="H44" s="524"/>
      <c r="I44" s="528">
        <v>48</v>
      </c>
      <c r="J44" s="526"/>
      <c r="K44" s="527">
        <v>48</v>
      </c>
      <c r="L44" s="524"/>
      <c r="M44" s="528">
        <v>48</v>
      </c>
      <c r="N44" s="526"/>
      <c r="O44" s="529"/>
      <c r="P44" s="534"/>
      <c r="Q44" s="530"/>
      <c r="R44" s="531">
        <f t="shared" si="1"/>
        <v>0</v>
      </c>
    </row>
    <row r="45" spans="2:18" ht="15" x14ac:dyDescent="0.2">
      <c r="B45" s="522" t="s">
        <v>39</v>
      </c>
      <c r="C45" s="523">
        <v>58.52</v>
      </c>
      <c r="D45" s="524"/>
      <c r="E45" s="525">
        <v>62.94</v>
      </c>
      <c r="F45" s="526"/>
      <c r="G45" s="527">
        <v>71.89</v>
      </c>
      <c r="H45" s="524"/>
      <c r="I45" s="528">
        <v>77.38</v>
      </c>
      <c r="J45" s="526"/>
      <c r="K45" s="527">
        <v>84.03</v>
      </c>
      <c r="L45" s="524"/>
      <c r="M45" s="528">
        <v>89.84</v>
      </c>
      <c r="N45" s="526"/>
      <c r="O45" s="529"/>
      <c r="P45" s="534"/>
      <c r="Q45" s="530"/>
      <c r="R45" s="531">
        <f t="shared" si="1"/>
        <v>0</v>
      </c>
    </row>
    <row r="46" spans="2:18" ht="15" x14ac:dyDescent="0.2">
      <c r="B46" s="522"/>
      <c r="C46" s="549"/>
      <c r="D46" s="534"/>
      <c r="E46" s="550"/>
      <c r="F46" s="534"/>
      <c r="G46" s="551"/>
      <c r="H46" s="534"/>
      <c r="I46" s="551"/>
      <c r="J46" s="534"/>
      <c r="K46" s="551"/>
      <c r="L46" s="534"/>
      <c r="M46" s="551"/>
      <c r="N46" s="534"/>
      <c r="O46" s="529"/>
      <c r="P46" s="534"/>
      <c r="Q46" s="624" t="s">
        <v>799</v>
      </c>
      <c r="R46" s="540">
        <f>SUM(R30:R45)</f>
        <v>0</v>
      </c>
    </row>
    <row r="47" spans="2:18" ht="15" x14ac:dyDescent="0.2">
      <c r="B47" s="522" t="s">
        <v>687</v>
      </c>
      <c r="C47" s="533"/>
      <c r="D47" s="534"/>
      <c r="E47" s="534"/>
      <c r="F47" s="534"/>
      <c r="G47" s="534"/>
      <c r="H47" s="534"/>
      <c r="I47" s="534"/>
      <c r="J47" s="534"/>
      <c r="K47" s="534"/>
      <c r="L47" s="534"/>
      <c r="M47" s="534"/>
      <c r="N47" s="534"/>
      <c r="O47" s="529"/>
      <c r="P47" s="534"/>
      <c r="Q47" s="539">
        <v>0.15</v>
      </c>
      <c r="R47" s="540">
        <f>SUM(R46*0.15)</f>
        <v>0</v>
      </c>
    </row>
    <row r="48" spans="2:18" ht="16" thickBot="1" x14ac:dyDescent="0.25">
      <c r="B48" s="541"/>
      <c r="C48" s="542"/>
      <c r="D48" s="543"/>
      <c r="E48" s="543"/>
      <c r="F48" s="543"/>
      <c r="G48" s="543"/>
      <c r="H48" s="543"/>
      <c r="I48" s="543"/>
      <c r="J48" s="543"/>
      <c r="K48" s="543"/>
      <c r="L48" s="543"/>
      <c r="M48" s="543"/>
      <c r="N48" s="543"/>
      <c r="O48" s="544"/>
      <c r="P48" s="543"/>
      <c r="Q48" s="545" t="s">
        <v>14</v>
      </c>
      <c r="R48" s="546">
        <f>SUM(R46+R47)</f>
        <v>0</v>
      </c>
    </row>
    <row r="50" spans="2:18" ht="14" thickBot="1" x14ac:dyDescent="0.2"/>
    <row r="51" spans="2:18" ht="15" x14ac:dyDescent="0.2">
      <c r="C51" s="502" t="s">
        <v>77</v>
      </c>
      <c r="D51" s="503" t="s">
        <v>680</v>
      </c>
      <c r="E51" s="503" t="s">
        <v>77</v>
      </c>
      <c r="F51" s="503" t="s">
        <v>680</v>
      </c>
      <c r="G51" s="503" t="s">
        <v>77</v>
      </c>
      <c r="H51" s="503" t="s">
        <v>680</v>
      </c>
      <c r="I51" s="503" t="s">
        <v>77</v>
      </c>
      <c r="J51" s="503" t="s">
        <v>680</v>
      </c>
      <c r="K51" s="503" t="s">
        <v>77</v>
      </c>
      <c r="L51" s="503" t="s">
        <v>680</v>
      </c>
      <c r="M51" s="503" t="s">
        <v>77</v>
      </c>
      <c r="N51" s="503" t="s">
        <v>680</v>
      </c>
      <c r="O51" s="503" t="s">
        <v>77</v>
      </c>
      <c r="P51" s="503" t="s">
        <v>680</v>
      </c>
      <c r="Q51" s="504"/>
      <c r="R51" s="505" t="s">
        <v>87</v>
      </c>
    </row>
    <row r="52" spans="2:18" ht="16" thickBot="1" x14ac:dyDescent="0.25">
      <c r="C52" s="506" t="s">
        <v>688</v>
      </c>
      <c r="D52" s="507"/>
      <c r="E52" s="508" t="s">
        <v>790</v>
      </c>
      <c r="F52" s="507"/>
      <c r="G52" s="509" t="s">
        <v>791</v>
      </c>
      <c r="H52" s="507"/>
      <c r="I52" s="508" t="s">
        <v>787</v>
      </c>
      <c r="J52" s="507"/>
      <c r="K52" s="509" t="s">
        <v>689</v>
      </c>
      <c r="L52" s="507"/>
      <c r="M52" s="508" t="s">
        <v>788</v>
      </c>
      <c r="N52" s="507"/>
      <c r="O52" s="509" t="s">
        <v>789</v>
      </c>
      <c r="P52" s="507"/>
      <c r="Q52" s="511"/>
      <c r="R52" s="512"/>
    </row>
    <row r="53" spans="2:18" ht="15" x14ac:dyDescent="0.2">
      <c r="B53" s="513" t="s">
        <v>765</v>
      </c>
      <c r="C53" s="514">
        <v>45.2</v>
      </c>
      <c r="D53" s="515"/>
      <c r="E53" s="516">
        <v>48.62</v>
      </c>
      <c r="F53" s="517"/>
      <c r="G53" s="518">
        <v>52.16</v>
      </c>
      <c r="H53" s="515"/>
      <c r="I53" s="519">
        <v>56.12</v>
      </c>
      <c r="J53" s="517"/>
      <c r="K53" s="518">
        <v>61.33</v>
      </c>
      <c r="L53" s="515"/>
      <c r="M53" s="519">
        <v>65.98</v>
      </c>
      <c r="N53" s="517"/>
      <c r="O53" s="552">
        <v>70.790000000000006</v>
      </c>
      <c r="P53" s="515"/>
      <c r="Q53" s="504"/>
      <c r="R53" s="521">
        <f t="shared" ref="R53:R68" si="2">SUM(C53*D53+E53*F53+G53*H53+I53*J53+K53*L53+M53*+N53+O53*P53)</f>
        <v>0</v>
      </c>
    </row>
    <row r="54" spans="2:18" ht="15" x14ac:dyDescent="0.2">
      <c r="B54" s="522" t="s">
        <v>779</v>
      </c>
      <c r="C54" s="523">
        <v>118.56</v>
      </c>
      <c r="D54" s="524"/>
      <c r="E54" s="525">
        <v>128.02000000000001</v>
      </c>
      <c r="F54" s="526"/>
      <c r="G54" s="527">
        <v>138.37</v>
      </c>
      <c r="H54" s="524"/>
      <c r="I54" s="528">
        <v>149.41999999999999</v>
      </c>
      <c r="J54" s="526"/>
      <c r="K54" s="527">
        <v>162.99</v>
      </c>
      <c r="L54" s="524"/>
      <c r="M54" s="528">
        <v>176</v>
      </c>
      <c r="N54" s="526"/>
      <c r="O54" s="553">
        <v>190.23</v>
      </c>
      <c r="P54" s="524"/>
      <c r="Q54" s="530"/>
      <c r="R54" s="531">
        <f t="shared" si="2"/>
        <v>0</v>
      </c>
    </row>
    <row r="55" spans="2:18" ht="15" x14ac:dyDescent="0.2">
      <c r="B55" s="522" t="s">
        <v>684</v>
      </c>
      <c r="C55" s="523">
        <v>168.41</v>
      </c>
      <c r="D55" s="524"/>
      <c r="E55" s="525">
        <v>181.57</v>
      </c>
      <c r="F55" s="526"/>
      <c r="G55" s="527">
        <v>195.76</v>
      </c>
      <c r="H55" s="524"/>
      <c r="I55" s="528">
        <v>211.05</v>
      </c>
      <c r="J55" s="526"/>
      <c r="K55" s="527">
        <v>227.54</v>
      </c>
      <c r="L55" s="524"/>
      <c r="M55" s="528">
        <v>245.32</v>
      </c>
      <c r="N55" s="526"/>
      <c r="O55" s="553">
        <v>264.49</v>
      </c>
      <c r="P55" s="524"/>
      <c r="Q55" s="530"/>
      <c r="R55" s="531">
        <f t="shared" si="2"/>
        <v>0</v>
      </c>
    </row>
    <row r="56" spans="2:18" ht="15" x14ac:dyDescent="0.2">
      <c r="B56" s="522" t="s">
        <v>682</v>
      </c>
      <c r="C56" s="523">
        <v>107.11</v>
      </c>
      <c r="D56" s="524"/>
      <c r="E56" s="525">
        <v>115.45</v>
      </c>
      <c r="F56" s="526"/>
      <c r="G56" s="527">
        <v>124.67</v>
      </c>
      <c r="H56" s="524"/>
      <c r="I56" s="528">
        <v>134.37</v>
      </c>
      <c r="J56" s="526"/>
      <c r="K56" s="527">
        <v>146.44</v>
      </c>
      <c r="L56" s="524"/>
      <c r="M56" s="528">
        <v>157.84</v>
      </c>
      <c r="N56" s="526"/>
      <c r="O56" s="553">
        <v>170.45</v>
      </c>
      <c r="P56" s="524"/>
      <c r="Q56" s="530"/>
      <c r="R56" s="531">
        <f t="shared" si="2"/>
        <v>0</v>
      </c>
    </row>
    <row r="57" spans="2:18" ht="15" x14ac:dyDescent="0.2">
      <c r="B57" s="522" t="s">
        <v>683</v>
      </c>
      <c r="C57" s="523">
        <v>148.9</v>
      </c>
      <c r="D57" s="524"/>
      <c r="E57" s="525">
        <v>161.68</v>
      </c>
      <c r="F57" s="526"/>
      <c r="G57" s="527">
        <v>174.75</v>
      </c>
      <c r="H57" s="524"/>
      <c r="I57" s="528">
        <v>189.75</v>
      </c>
      <c r="J57" s="526"/>
      <c r="K57" s="527">
        <v>206.99</v>
      </c>
      <c r="L57" s="524"/>
      <c r="M57" s="528">
        <v>224.76</v>
      </c>
      <c r="N57" s="526"/>
      <c r="O57" s="553">
        <v>242.93</v>
      </c>
      <c r="P57" s="524"/>
      <c r="Q57" s="530"/>
      <c r="R57" s="531">
        <f t="shared" si="2"/>
        <v>0</v>
      </c>
    </row>
    <row r="58" spans="2:18" ht="15" x14ac:dyDescent="0.2">
      <c r="B58" s="522" t="s">
        <v>766</v>
      </c>
      <c r="C58" s="523">
        <v>244.13</v>
      </c>
      <c r="D58" s="524"/>
      <c r="E58" s="525">
        <v>263.20999999999998</v>
      </c>
      <c r="F58" s="526"/>
      <c r="G58" s="527">
        <v>283.77</v>
      </c>
      <c r="H58" s="524"/>
      <c r="I58" s="528">
        <v>305.94</v>
      </c>
      <c r="J58" s="526"/>
      <c r="K58" s="527">
        <v>329.85</v>
      </c>
      <c r="L58" s="524"/>
      <c r="M58" s="528">
        <v>355.62</v>
      </c>
      <c r="N58" s="526"/>
      <c r="O58" s="553">
        <v>383.41</v>
      </c>
      <c r="P58" s="524"/>
      <c r="Q58" s="530"/>
      <c r="R58" s="531">
        <f t="shared" si="2"/>
        <v>0</v>
      </c>
    </row>
    <row r="59" spans="2:18" ht="15" x14ac:dyDescent="0.2">
      <c r="B59" s="522" t="s">
        <v>767</v>
      </c>
      <c r="C59" s="523">
        <v>166.31</v>
      </c>
      <c r="D59" s="524"/>
      <c r="E59" s="525">
        <v>180.59</v>
      </c>
      <c r="F59" s="526"/>
      <c r="G59" s="527">
        <v>195.18</v>
      </c>
      <c r="H59" s="524"/>
      <c r="I59" s="528">
        <v>211.94</v>
      </c>
      <c r="J59" s="526"/>
      <c r="K59" s="527">
        <v>231.19</v>
      </c>
      <c r="L59" s="524"/>
      <c r="M59" s="528">
        <v>251.04</v>
      </c>
      <c r="N59" s="526"/>
      <c r="O59" s="553">
        <v>271.33</v>
      </c>
      <c r="P59" s="524"/>
      <c r="Q59" s="530"/>
      <c r="R59" s="531">
        <f t="shared" si="2"/>
        <v>0</v>
      </c>
    </row>
    <row r="60" spans="2:18" ht="15" x14ac:dyDescent="0.2">
      <c r="B60" s="522" t="s">
        <v>778</v>
      </c>
      <c r="C60" s="523">
        <v>132.59</v>
      </c>
      <c r="D60" s="524"/>
      <c r="E60" s="525">
        <v>143.16999999999999</v>
      </c>
      <c r="F60" s="526"/>
      <c r="G60" s="527">
        <v>154.75</v>
      </c>
      <c r="H60" s="524"/>
      <c r="I60" s="528">
        <v>167.1</v>
      </c>
      <c r="J60" s="526"/>
      <c r="K60" s="527">
        <v>180.61</v>
      </c>
      <c r="L60" s="524"/>
      <c r="M60" s="528">
        <v>195.03</v>
      </c>
      <c r="N60" s="526"/>
      <c r="O60" s="553">
        <v>210.79</v>
      </c>
      <c r="P60" s="524"/>
      <c r="Q60" s="530"/>
      <c r="R60" s="531">
        <f t="shared" si="2"/>
        <v>0</v>
      </c>
    </row>
    <row r="61" spans="2:18" ht="15" x14ac:dyDescent="0.2">
      <c r="B61" s="522" t="s">
        <v>780</v>
      </c>
      <c r="C61" s="523">
        <v>132.59</v>
      </c>
      <c r="D61" s="524"/>
      <c r="E61" s="525">
        <v>143.16999999999999</v>
      </c>
      <c r="F61" s="526"/>
      <c r="G61" s="527">
        <v>154.75</v>
      </c>
      <c r="H61" s="524"/>
      <c r="I61" s="528">
        <v>167.1</v>
      </c>
      <c r="J61" s="526"/>
      <c r="K61" s="527">
        <v>180.61</v>
      </c>
      <c r="L61" s="524"/>
      <c r="M61" s="528">
        <v>195.03</v>
      </c>
      <c r="N61" s="526"/>
      <c r="O61" s="553">
        <v>210.79</v>
      </c>
      <c r="P61" s="524"/>
      <c r="Q61" s="530"/>
      <c r="R61" s="531">
        <f t="shared" si="2"/>
        <v>0</v>
      </c>
    </row>
    <row r="62" spans="2:18" ht="15" x14ac:dyDescent="0.2">
      <c r="B62" s="522" t="s">
        <v>685</v>
      </c>
      <c r="C62" s="523">
        <v>122.3</v>
      </c>
      <c r="D62" s="524"/>
      <c r="E62" s="525">
        <v>131.82</v>
      </c>
      <c r="F62" s="526"/>
      <c r="G62" s="527">
        <v>142.34</v>
      </c>
      <c r="H62" s="524"/>
      <c r="I62" s="528">
        <v>153.41999999999999</v>
      </c>
      <c r="J62" s="526"/>
      <c r="K62" s="527">
        <v>165.67</v>
      </c>
      <c r="L62" s="524"/>
      <c r="M62" s="528">
        <v>178.57</v>
      </c>
      <c r="N62" s="526"/>
      <c r="O62" s="553">
        <v>192.82</v>
      </c>
      <c r="P62" s="524"/>
      <c r="Q62" s="530"/>
      <c r="R62" s="531">
        <f t="shared" si="2"/>
        <v>0</v>
      </c>
    </row>
    <row r="63" spans="2:18" ht="15" x14ac:dyDescent="0.2">
      <c r="B63" s="522" t="s">
        <v>681</v>
      </c>
      <c r="C63" s="523">
        <v>72.7</v>
      </c>
      <c r="D63" s="524"/>
      <c r="E63" s="525">
        <v>78.209999999999994</v>
      </c>
      <c r="F63" s="526"/>
      <c r="G63" s="527">
        <v>83.91</v>
      </c>
      <c r="H63" s="524"/>
      <c r="I63" s="528">
        <v>90.27</v>
      </c>
      <c r="J63" s="526"/>
      <c r="K63" s="527">
        <v>96.85</v>
      </c>
      <c r="L63" s="524"/>
      <c r="M63" s="528">
        <v>104.19</v>
      </c>
      <c r="N63" s="526"/>
      <c r="O63" s="553">
        <v>111.78</v>
      </c>
      <c r="P63" s="524"/>
      <c r="Q63" s="530"/>
      <c r="R63" s="531">
        <f t="shared" si="2"/>
        <v>0</v>
      </c>
    </row>
    <row r="64" spans="2:18" ht="15" x14ac:dyDescent="0.2">
      <c r="B64" s="522" t="s">
        <v>768</v>
      </c>
      <c r="C64" s="523">
        <v>17.690000000000001</v>
      </c>
      <c r="D64" s="524"/>
      <c r="E64" s="525">
        <v>19.28</v>
      </c>
      <c r="F64" s="526"/>
      <c r="G64" s="527">
        <v>21.03</v>
      </c>
      <c r="H64" s="524"/>
      <c r="I64" s="528">
        <v>22.92</v>
      </c>
      <c r="J64" s="526"/>
      <c r="K64" s="527">
        <v>25</v>
      </c>
      <c r="L64" s="524"/>
      <c r="M64" s="528">
        <v>27.25</v>
      </c>
      <c r="N64" s="526"/>
      <c r="O64" s="553">
        <v>29.73</v>
      </c>
      <c r="P64" s="524"/>
      <c r="Q64" s="530"/>
      <c r="R64" s="531">
        <f t="shared" si="2"/>
        <v>0</v>
      </c>
    </row>
    <row r="65" spans="2:18" ht="15" x14ac:dyDescent="0.2">
      <c r="B65" s="522" t="s">
        <v>769</v>
      </c>
      <c r="C65" s="523">
        <v>60.1</v>
      </c>
      <c r="D65" s="524"/>
      <c r="E65" s="525">
        <v>64.900000000000006</v>
      </c>
      <c r="F65" s="526"/>
      <c r="G65" s="527">
        <v>70.14</v>
      </c>
      <c r="H65" s="524"/>
      <c r="I65" s="528">
        <v>75.739999999999995</v>
      </c>
      <c r="J65" s="526"/>
      <c r="K65" s="527">
        <v>81.87</v>
      </c>
      <c r="L65" s="524"/>
      <c r="M65" s="528">
        <v>88.4</v>
      </c>
      <c r="N65" s="526"/>
      <c r="O65" s="553">
        <v>95.55</v>
      </c>
      <c r="P65" s="524"/>
      <c r="Q65" s="530"/>
      <c r="R65" s="531">
        <f t="shared" si="2"/>
        <v>0</v>
      </c>
    </row>
    <row r="66" spans="2:18" ht="15" x14ac:dyDescent="0.2">
      <c r="B66" s="522" t="s">
        <v>770</v>
      </c>
      <c r="C66" s="523">
        <v>19.34</v>
      </c>
      <c r="D66" s="524"/>
      <c r="E66" s="525">
        <v>20.8</v>
      </c>
      <c r="F66" s="526"/>
      <c r="G66" s="527">
        <v>22.32</v>
      </c>
      <c r="H66" s="524"/>
      <c r="I66" s="528">
        <v>24.01</v>
      </c>
      <c r="J66" s="526"/>
      <c r="K66" s="527">
        <v>25.76</v>
      </c>
      <c r="L66" s="524"/>
      <c r="M66" s="528">
        <v>27.71</v>
      </c>
      <c r="N66" s="526"/>
      <c r="O66" s="553">
        <v>29.73</v>
      </c>
      <c r="P66" s="524"/>
      <c r="Q66" s="530"/>
      <c r="R66" s="531">
        <f t="shared" si="2"/>
        <v>0</v>
      </c>
    </row>
    <row r="67" spans="2:18" ht="15" x14ac:dyDescent="0.2">
      <c r="B67" s="522" t="s">
        <v>771</v>
      </c>
      <c r="C67" s="523">
        <v>48</v>
      </c>
      <c r="D67" s="524"/>
      <c r="E67" s="525">
        <v>48</v>
      </c>
      <c r="F67" s="526"/>
      <c r="G67" s="527">
        <v>48</v>
      </c>
      <c r="H67" s="524"/>
      <c r="I67" s="528">
        <v>48</v>
      </c>
      <c r="J67" s="526"/>
      <c r="K67" s="527">
        <v>48</v>
      </c>
      <c r="L67" s="524"/>
      <c r="M67" s="528">
        <v>48</v>
      </c>
      <c r="N67" s="526"/>
      <c r="O67" s="553">
        <v>48</v>
      </c>
      <c r="P67" s="524"/>
      <c r="Q67" s="530"/>
      <c r="R67" s="531">
        <f t="shared" si="2"/>
        <v>0</v>
      </c>
    </row>
    <row r="68" spans="2:18" ht="15" x14ac:dyDescent="0.2">
      <c r="B68" s="522" t="s">
        <v>39</v>
      </c>
      <c r="C68" s="523">
        <v>97.22</v>
      </c>
      <c r="D68" s="524"/>
      <c r="E68" s="525">
        <v>104.74</v>
      </c>
      <c r="F68" s="526"/>
      <c r="G68" s="527">
        <v>112.19</v>
      </c>
      <c r="H68" s="524"/>
      <c r="I68" s="528">
        <v>119.05</v>
      </c>
      <c r="J68" s="526"/>
      <c r="K68" s="527">
        <v>127.24</v>
      </c>
      <c r="L68" s="524"/>
      <c r="M68" s="528">
        <v>148.56</v>
      </c>
      <c r="N68" s="526"/>
      <c r="O68" s="553">
        <v>157.18</v>
      </c>
      <c r="P68" s="524"/>
      <c r="Q68" s="530"/>
      <c r="R68" s="531">
        <f t="shared" si="2"/>
        <v>0</v>
      </c>
    </row>
    <row r="69" spans="2:18" ht="15" x14ac:dyDescent="0.2">
      <c r="B69" s="532"/>
      <c r="C69" s="533"/>
      <c r="D69" s="534"/>
      <c r="E69" s="534"/>
      <c r="F69" s="534"/>
      <c r="G69" s="534"/>
      <c r="H69" s="534"/>
      <c r="I69" s="534"/>
      <c r="J69" s="534"/>
      <c r="K69" s="534"/>
      <c r="L69" s="534"/>
      <c r="M69" s="534"/>
      <c r="N69" s="534"/>
      <c r="O69" s="529"/>
      <c r="P69" s="534"/>
      <c r="Q69" s="623" t="s">
        <v>799</v>
      </c>
      <c r="R69" s="540">
        <f>SUM(R52:R68)</f>
        <v>0</v>
      </c>
    </row>
    <row r="70" spans="2:18" ht="15" x14ac:dyDescent="0.2">
      <c r="B70" s="522" t="s">
        <v>687</v>
      </c>
      <c r="C70" s="536"/>
      <c r="D70" s="537"/>
      <c r="E70" s="537"/>
      <c r="F70" s="537"/>
      <c r="G70" s="537"/>
      <c r="H70" s="537"/>
      <c r="I70" s="537"/>
      <c r="J70" s="537"/>
      <c r="K70" s="537"/>
      <c r="L70" s="537"/>
      <c r="M70" s="537"/>
      <c r="N70" s="537"/>
      <c r="O70" s="538"/>
      <c r="P70" s="537"/>
      <c r="Q70" s="539">
        <v>0.15</v>
      </c>
      <c r="R70" s="540">
        <f>SUM(R69*0.15)</f>
        <v>0</v>
      </c>
    </row>
    <row r="71" spans="2:18" ht="16" thickBot="1" x14ac:dyDescent="0.25">
      <c r="B71" s="541"/>
      <c r="C71" s="542"/>
      <c r="D71" s="543"/>
      <c r="E71" s="543"/>
      <c r="F71" s="543"/>
      <c r="G71" s="543"/>
      <c r="H71" s="543"/>
      <c r="I71" s="543"/>
      <c r="J71" s="543"/>
      <c r="K71" s="543"/>
      <c r="L71" s="543"/>
      <c r="M71" s="543"/>
      <c r="N71" s="543"/>
      <c r="O71" s="544"/>
      <c r="P71" s="543"/>
      <c r="Q71" s="545" t="s">
        <v>14</v>
      </c>
      <c r="R71" s="546">
        <f>SUM(R69+R70)</f>
        <v>0</v>
      </c>
    </row>
    <row r="73" spans="2:18" ht="14" thickBot="1" x14ac:dyDescent="0.2"/>
    <row r="74" spans="2:18" ht="15" x14ac:dyDescent="0.2">
      <c r="C74" s="502" t="s">
        <v>77</v>
      </c>
      <c r="D74" s="503" t="s">
        <v>680</v>
      </c>
      <c r="E74" s="503" t="s">
        <v>77</v>
      </c>
      <c r="F74" s="503" t="s">
        <v>680</v>
      </c>
      <c r="G74" s="503" t="s">
        <v>77</v>
      </c>
      <c r="H74" s="503" t="s">
        <v>680</v>
      </c>
      <c r="I74" s="503" t="s">
        <v>77</v>
      </c>
      <c r="J74" s="503" t="s">
        <v>680</v>
      </c>
      <c r="K74" s="503" t="s">
        <v>77</v>
      </c>
      <c r="L74" s="503" t="s">
        <v>680</v>
      </c>
      <c r="M74" s="503" t="s">
        <v>77</v>
      </c>
      <c r="N74" s="503" t="s">
        <v>680</v>
      </c>
      <c r="O74" s="503" t="s">
        <v>77</v>
      </c>
      <c r="P74" s="503" t="s">
        <v>680</v>
      </c>
      <c r="Q74" s="504"/>
      <c r="R74" s="505" t="s">
        <v>87</v>
      </c>
    </row>
    <row r="75" spans="2:18" ht="16" thickBot="1" x14ac:dyDescent="0.25">
      <c r="C75" s="506" t="s">
        <v>792</v>
      </c>
      <c r="D75" s="507"/>
      <c r="E75" s="508" t="s">
        <v>793</v>
      </c>
      <c r="F75" s="507"/>
      <c r="G75" s="509" t="s">
        <v>794</v>
      </c>
      <c r="H75" s="507"/>
      <c r="I75" s="508" t="s">
        <v>795</v>
      </c>
      <c r="J75" s="507"/>
      <c r="K75" s="509" t="s">
        <v>796</v>
      </c>
      <c r="L75" s="507"/>
      <c r="M75" s="508" t="s">
        <v>797</v>
      </c>
      <c r="N75" s="507"/>
      <c r="O75" s="509" t="s">
        <v>798</v>
      </c>
      <c r="P75" s="507"/>
      <c r="Q75" s="511"/>
      <c r="R75" s="512"/>
    </row>
    <row r="76" spans="2:18" ht="15" x14ac:dyDescent="0.2">
      <c r="B76" s="513" t="s">
        <v>765</v>
      </c>
      <c r="C76" s="514">
        <v>76.150000000000006</v>
      </c>
      <c r="D76" s="515"/>
      <c r="E76" s="516">
        <v>83.23</v>
      </c>
      <c r="F76" s="517"/>
      <c r="G76" s="518">
        <v>89.54</v>
      </c>
      <c r="H76" s="515"/>
      <c r="I76" s="519">
        <v>96.06</v>
      </c>
      <c r="J76" s="517"/>
      <c r="K76" s="518">
        <v>103.35</v>
      </c>
      <c r="L76" s="515"/>
      <c r="M76" s="519">
        <v>110.87</v>
      </c>
      <c r="N76" s="517"/>
      <c r="O76" s="552">
        <v>119.28</v>
      </c>
      <c r="P76" s="515"/>
      <c r="Q76" s="504"/>
      <c r="R76" s="521">
        <f t="shared" ref="R76:R91" si="3">SUM(C76*D76+E76*F76+G76*H76+I76*J76+K76*L76+M76*+N76+O76*P76)</f>
        <v>0</v>
      </c>
    </row>
    <row r="77" spans="2:18" ht="15" x14ac:dyDescent="0.2">
      <c r="B77" s="522" t="s">
        <v>779</v>
      </c>
      <c r="C77" s="523">
        <v>205.42</v>
      </c>
      <c r="D77" s="524"/>
      <c r="E77" s="525">
        <v>224.08</v>
      </c>
      <c r="F77" s="526"/>
      <c r="G77" s="527">
        <v>241.97</v>
      </c>
      <c r="H77" s="524"/>
      <c r="I77" s="528">
        <v>261.52999999999997</v>
      </c>
      <c r="J77" s="526"/>
      <c r="K77" s="527">
        <v>282.41000000000003</v>
      </c>
      <c r="L77" s="524"/>
      <c r="M77" s="528">
        <v>305.24</v>
      </c>
      <c r="N77" s="526"/>
      <c r="O77" s="553">
        <v>329.62</v>
      </c>
      <c r="P77" s="524"/>
      <c r="Q77" s="530"/>
      <c r="R77" s="531">
        <f t="shared" si="3"/>
        <v>0</v>
      </c>
    </row>
    <row r="78" spans="2:18" ht="15" x14ac:dyDescent="0.2">
      <c r="B78" s="522" t="s">
        <v>684</v>
      </c>
      <c r="C78" s="523">
        <v>285.14999999999998</v>
      </c>
      <c r="D78" s="524"/>
      <c r="E78" s="525">
        <v>307.44</v>
      </c>
      <c r="F78" s="526"/>
      <c r="G78" s="527">
        <v>331.46</v>
      </c>
      <c r="H78" s="524"/>
      <c r="I78" s="528">
        <v>357.36</v>
      </c>
      <c r="J78" s="526"/>
      <c r="K78" s="527">
        <v>385.28</v>
      </c>
      <c r="L78" s="524"/>
      <c r="M78" s="528">
        <v>415.38</v>
      </c>
      <c r="N78" s="526"/>
      <c r="O78" s="553">
        <v>447.84</v>
      </c>
      <c r="P78" s="524"/>
      <c r="Q78" s="530"/>
      <c r="R78" s="531">
        <f t="shared" si="3"/>
        <v>0</v>
      </c>
    </row>
    <row r="79" spans="2:18" ht="15" x14ac:dyDescent="0.2">
      <c r="B79" s="522" t="s">
        <v>682</v>
      </c>
      <c r="C79" s="523">
        <v>183.71</v>
      </c>
      <c r="D79" s="524"/>
      <c r="E79" s="525">
        <v>200.22</v>
      </c>
      <c r="F79" s="526"/>
      <c r="G79" s="527">
        <v>215.8</v>
      </c>
      <c r="H79" s="524"/>
      <c r="I79" s="528">
        <v>233.03</v>
      </c>
      <c r="J79" s="526"/>
      <c r="K79" s="527">
        <v>251.17</v>
      </c>
      <c r="L79" s="524"/>
      <c r="M79" s="528">
        <v>271.23</v>
      </c>
      <c r="N79" s="526"/>
      <c r="O79" s="553">
        <v>292.33999999999997</v>
      </c>
      <c r="P79" s="524"/>
      <c r="Q79" s="530"/>
      <c r="R79" s="531">
        <f t="shared" si="3"/>
        <v>0</v>
      </c>
    </row>
    <row r="80" spans="2:18" ht="15" x14ac:dyDescent="0.2">
      <c r="B80" s="522" t="s">
        <v>683</v>
      </c>
      <c r="C80" s="523">
        <v>263.77999999999997</v>
      </c>
      <c r="D80" s="524"/>
      <c r="E80" s="525">
        <v>287.74</v>
      </c>
      <c r="F80" s="526"/>
      <c r="G80" s="527">
        <v>312.44</v>
      </c>
      <c r="H80" s="524"/>
      <c r="I80" s="528">
        <v>337.7</v>
      </c>
      <c r="J80" s="526"/>
      <c r="K80" s="527">
        <v>366.69</v>
      </c>
      <c r="L80" s="524"/>
      <c r="M80" s="528">
        <v>396.33</v>
      </c>
      <c r="N80" s="526"/>
      <c r="O80" s="553">
        <v>430.36</v>
      </c>
      <c r="P80" s="524"/>
      <c r="Q80" s="530"/>
      <c r="R80" s="531">
        <f t="shared" si="3"/>
        <v>0</v>
      </c>
    </row>
    <row r="81" spans="2:18" ht="15" x14ac:dyDescent="0.2">
      <c r="B81" s="522" t="s">
        <v>766</v>
      </c>
      <c r="C81" s="523">
        <v>413.37</v>
      </c>
      <c r="D81" s="524"/>
      <c r="E81" s="525">
        <v>445.66</v>
      </c>
      <c r="F81" s="526"/>
      <c r="G81" s="527">
        <v>480.49</v>
      </c>
      <c r="H81" s="524"/>
      <c r="I81" s="528">
        <v>518.03</v>
      </c>
      <c r="J81" s="526"/>
      <c r="K81" s="527">
        <v>558.51</v>
      </c>
      <c r="L81" s="524"/>
      <c r="M81" s="528">
        <v>602.14</v>
      </c>
      <c r="N81" s="526"/>
      <c r="O81" s="553">
        <v>649.19000000000005</v>
      </c>
      <c r="P81" s="524"/>
      <c r="Q81" s="530"/>
      <c r="R81" s="531">
        <f t="shared" si="3"/>
        <v>0</v>
      </c>
    </row>
    <row r="82" spans="2:18" ht="15" x14ac:dyDescent="0.2">
      <c r="B82" s="522" t="s">
        <v>767</v>
      </c>
      <c r="C82" s="523">
        <v>294.62</v>
      </c>
      <c r="D82" s="524"/>
      <c r="E82" s="525">
        <v>321.39</v>
      </c>
      <c r="F82" s="526"/>
      <c r="G82" s="527">
        <v>348.97</v>
      </c>
      <c r="H82" s="524"/>
      <c r="I82" s="528">
        <v>377.19</v>
      </c>
      <c r="J82" s="526"/>
      <c r="K82" s="527">
        <v>409.56</v>
      </c>
      <c r="L82" s="524"/>
      <c r="M82" s="528">
        <v>442.67</v>
      </c>
      <c r="N82" s="526"/>
      <c r="O82" s="553">
        <v>480.67</v>
      </c>
      <c r="P82" s="524"/>
      <c r="Q82" s="530"/>
      <c r="R82" s="531">
        <f t="shared" si="3"/>
        <v>0</v>
      </c>
    </row>
    <row r="83" spans="2:18" ht="15" x14ac:dyDescent="0.2">
      <c r="B83" s="522" t="s">
        <v>778</v>
      </c>
      <c r="C83" s="523">
        <v>227.62</v>
      </c>
      <c r="D83" s="524"/>
      <c r="E83" s="525">
        <v>246.03</v>
      </c>
      <c r="F83" s="526"/>
      <c r="G83" s="527">
        <v>265.67</v>
      </c>
      <c r="H83" s="524"/>
      <c r="I83" s="528">
        <v>287.14999999999998</v>
      </c>
      <c r="J83" s="526"/>
      <c r="K83" s="527">
        <v>310.07</v>
      </c>
      <c r="L83" s="524"/>
      <c r="M83" s="528">
        <v>335.14</v>
      </c>
      <c r="N83" s="526"/>
      <c r="O83" s="553">
        <v>361.89</v>
      </c>
      <c r="P83" s="524"/>
      <c r="Q83" s="530"/>
      <c r="R83" s="531">
        <f t="shared" si="3"/>
        <v>0</v>
      </c>
    </row>
    <row r="84" spans="2:18" ht="15" x14ac:dyDescent="0.2">
      <c r="B84" s="522" t="s">
        <v>780</v>
      </c>
      <c r="C84" s="523">
        <v>227.62</v>
      </c>
      <c r="D84" s="524"/>
      <c r="E84" s="525">
        <v>246.03</v>
      </c>
      <c r="F84" s="526"/>
      <c r="G84" s="527">
        <v>265.67</v>
      </c>
      <c r="H84" s="524"/>
      <c r="I84" s="528">
        <v>287.14999999999998</v>
      </c>
      <c r="J84" s="526"/>
      <c r="K84" s="527">
        <v>310.07</v>
      </c>
      <c r="L84" s="524"/>
      <c r="M84" s="528">
        <v>335.14</v>
      </c>
      <c r="N84" s="526"/>
      <c r="O84" s="553">
        <v>361.89</v>
      </c>
      <c r="P84" s="524"/>
      <c r="Q84" s="530"/>
      <c r="R84" s="531">
        <f t="shared" si="3"/>
        <v>0</v>
      </c>
    </row>
    <row r="85" spans="2:18" ht="15" x14ac:dyDescent="0.2">
      <c r="B85" s="522" t="s">
        <v>685</v>
      </c>
      <c r="C85" s="523">
        <v>207.83</v>
      </c>
      <c r="D85" s="524"/>
      <c r="E85" s="525">
        <v>224.43</v>
      </c>
      <c r="F85" s="526"/>
      <c r="G85" s="527">
        <v>241.9</v>
      </c>
      <c r="H85" s="524"/>
      <c r="I85" s="528">
        <v>261.20999999999998</v>
      </c>
      <c r="J85" s="526"/>
      <c r="K85" s="527">
        <v>281.54000000000002</v>
      </c>
      <c r="L85" s="524"/>
      <c r="M85" s="528">
        <v>304.02</v>
      </c>
      <c r="N85" s="526"/>
      <c r="O85" s="553">
        <v>327.68</v>
      </c>
      <c r="P85" s="524"/>
      <c r="Q85" s="530"/>
      <c r="R85" s="531">
        <f t="shared" si="3"/>
        <v>0</v>
      </c>
    </row>
    <row r="86" spans="2:18" ht="15" x14ac:dyDescent="0.2">
      <c r="B86" s="522" t="s">
        <v>681</v>
      </c>
      <c r="C86" s="523">
        <v>120.26</v>
      </c>
      <c r="D86" s="524"/>
      <c r="E86" s="525">
        <v>129.02000000000001</v>
      </c>
      <c r="F86" s="526"/>
      <c r="G86" s="527">
        <v>138.80000000000001</v>
      </c>
      <c r="H86" s="524"/>
      <c r="I86" s="528">
        <v>148.91</v>
      </c>
      <c r="J86" s="526"/>
      <c r="K86" s="527">
        <v>160.21</v>
      </c>
      <c r="L86" s="524"/>
      <c r="M86" s="528">
        <v>171.88</v>
      </c>
      <c r="N86" s="526"/>
      <c r="O86" s="553">
        <v>184.91</v>
      </c>
      <c r="P86" s="524"/>
      <c r="Q86" s="530"/>
      <c r="R86" s="531">
        <f t="shared" si="3"/>
        <v>0</v>
      </c>
    </row>
    <row r="87" spans="2:18" ht="15" x14ac:dyDescent="0.2">
      <c r="B87" s="522" t="s">
        <v>768</v>
      </c>
      <c r="C87" s="523">
        <v>32.4</v>
      </c>
      <c r="D87" s="524"/>
      <c r="E87" s="525">
        <v>35.340000000000003</v>
      </c>
      <c r="F87" s="526"/>
      <c r="G87" s="527">
        <v>38.520000000000003</v>
      </c>
      <c r="H87" s="524"/>
      <c r="I87" s="528">
        <v>42.01</v>
      </c>
      <c r="J87" s="526"/>
      <c r="K87" s="527">
        <v>45.79</v>
      </c>
      <c r="L87" s="524"/>
      <c r="M87" s="528">
        <v>49.95</v>
      </c>
      <c r="N87" s="526"/>
      <c r="O87" s="553">
        <v>54.44</v>
      </c>
      <c r="P87" s="524"/>
      <c r="Q87" s="530"/>
      <c r="R87" s="531">
        <f t="shared" si="3"/>
        <v>0</v>
      </c>
    </row>
    <row r="88" spans="2:18" ht="15" x14ac:dyDescent="0.2">
      <c r="B88" s="522" t="s">
        <v>769</v>
      </c>
      <c r="C88" s="523">
        <v>103.18</v>
      </c>
      <c r="D88" s="524"/>
      <c r="E88" s="525">
        <v>111.52</v>
      </c>
      <c r="F88" s="526"/>
      <c r="G88" s="527">
        <v>120.42</v>
      </c>
      <c r="H88" s="524"/>
      <c r="I88" s="528">
        <v>130.16</v>
      </c>
      <c r="J88" s="526"/>
      <c r="K88" s="527">
        <v>140.55000000000001</v>
      </c>
      <c r="L88" s="524"/>
      <c r="M88" s="528">
        <v>151.91</v>
      </c>
      <c r="N88" s="526"/>
      <c r="O88" s="553">
        <v>164.04</v>
      </c>
      <c r="P88" s="524"/>
      <c r="Q88" s="530"/>
      <c r="R88" s="531">
        <f t="shared" si="3"/>
        <v>0</v>
      </c>
    </row>
    <row r="89" spans="2:18" ht="15" x14ac:dyDescent="0.2">
      <c r="B89" s="522" t="s">
        <v>770</v>
      </c>
      <c r="C89" s="523">
        <v>31.99</v>
      </c>
      <c r="D89" s="524"/>
      <c r="E89" s="525">
        <v>34.32</v>
      </c>
      <c r="F89" s="526"/>
      <c r="G89" s="527">
        <v>36.92</v>
      </c>
      <c r="H89" s="524"/>
      <c r="I89" s="528">
        <v>39.61</v>
      </c>
      <c r="J89" s="526"/>
      <c r="K89" s="527">
        <v>42.61</v>
      </c>
      <c r="L89" s="524"/>
      <c r="M89" s="528">
        <v>45.72</v>
      </c>
      <c r="N89" s="526"/>
      <c r="O89" s="553">
        <v>49.18</v>
      </c>
      <c r="P89" s="524"/>
      <c r="Q89" s="530"/>
      <c r="R89" s="531">
        <f t="shared" si="3"/>
        <v>0</v>
      </c>
    </row>
    <row r="90" spans="2:18" ht="15" x14ac:dyDescent="0.2">
      <c r="B90" s="522" t="s">
        <v>771</v>
      </c>
      <c r="C90" s="523">
        <v>48</v>
      </c>
      <c r="D90" s="524"/>
      <c r="E90" s="525">
        <v>48</v>
      </c>
      <c r="F90" s="526"/>
      <c r="G90" s="527">
        <v>48</v>
      </c>
      <c r="H90" s="524"/>
      <c r="I90" s="528">
        <v>48</v>
      </c>
      <c r="J90" s="526"/>
      <c r="K90" s="527">
        <v>48</v>
      </c>
      <c r="L90" s="524"/>
      <c r="M90" s="528">
        <v>48</v>
      </c>
      <c r="N90" s="526"/>
      <c r="O90" s="553">
        <v>48</v>
      </c>
      <c r="P90" s="524"/>
      <c r="Q90" s="530"/>
      <c r="R90" s="531">
        <f t="shared" si="3"/>
        <v>0</v>
      </c>
    </row>
    <row r="91" spans="2:18" ht="15" x14ac:dyDescent="0.2">
      <c r="B91" s="522" t="s">
        <v>39</v>
      </c>
      <c r="C91" s="523"/>
      <c r="D91" s="524"/>
      <c r="E91" s="525"/>
      <c r="F91" s="526"/>
      <c r="G91" s="527"/>
      <c r="H91" s="524"/>
      <c r="I91" s="528"/>
      <c r="J91" s="526"/>
      <c r="K91" s="527"/>
      <c r="L91" s="524"/>
      <c r="M91" s="528"/>
      <c r="N91" s="526"/>
      <c r="O91" s="553"/>
      <c r="P91" s="524"/>
      <c r="Q91" s="530"/>
      <c r="R91" s="531">
        <f t="shared" si="3"/>
        <v>0</v>
      </c>
    </row>
    <row r="92" spans="2:18" ht="15" x14ac:dyDescent="0.2">
      <c r="B92" s="532"/>
      <c r="C92" s="533"/>
      <c r="D92" s="534"/>
      <c r="E92" s="534"/>
      <c r="F92" s="534"/>
      <c r="G92" s="534"/>
      <c r="H92" s="534"/>
      <c r="I92" s="534"/>
      <c r="J92" s="534"/>
      <c r="K92" s="534"/>
      <c r="L92" s="534"/>
      <c r="M92" s="534"/>
      <c r="N92" s="534"/>
      <c r="O92" s="529"/>
      <c r="P92" s="534"/>
      <c r="Q92" s="623" t="s">
        <v>799</v>
      </c>
      <c r="R92" s="540">
        <f>SUM(R75:R91)</f>
        <v>0</v>
      </c>
    </row>
    <row r="93" spans="2:18" ht="15" x14ac:dyDescent="0.2">
      <c r="B93" s="522" t="s">
        <v>687</v>
      </c>
      <c r="C93" s="536"/>
      <c r="D93" s="537"/>
      <c r="E93" s="537"/>
      <c r="F93" s="537"/>
      <c r="G93" s="537"/>
      <c r="H93" s="537"/>
      <c r="I93" s="537"/>
      <c r="J93" s="537"/>
      <c r="K93" s="537"/>
      <c r="L93" s="537"/>
      <c r="M93" s="537"/>
      <c r="N93" s="537"/>
      <c r="O93" s="538"/>
      <c r="P93" s="537"/>
      <c r="Q93" s="539">
        <v>0.15</v>
      </c>
      <c r="R93" s="540">
        <f>SUM(R92*0.15)</f>
        <v>0</v>
      </c>
    </row>
    <row r="94" spans="2:18" ht="16" thickBot="1" x14ac:dyDescent="0.25">
      <c r="B94" s="541"/>
      <c r="C94" s="542"/>
      <c r="D94" s="543"/>
      <c r="E94" s="543"/>
      <c r="F94" s="543"/>
      <c r="G94" s="543"/>
      <c r="H94" s="543"/>
      <c r="I94" s="543"/>
      <c r="J94" s="543"/>
      <c r="K94" s="543"/>
      <c r="L94" s="543"/>
      <c r="M94" s="543"/>
      <c r="N94" s="543"/>
      <c r="O94" s="544"/>
      <c r="P94" s="543"/>
      <c r="Q94" s="545" t="s">
        <v>14</v>
      </c>
      <c r="R94" s="546">
        <f>SUM(R92+R93)</f>
        <v>0</v>
      </c>
    </row>
  </sheetData>
  <mergeCells count="4">
    <mergeCell ref="H2:L2"/>
    <mergeCell ref="N2:O2"/>
    <mergeCell ref="B2:E2"/>
    <mergeCell ref="B3:O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pageSetUpPr fitToPage="1"/>
  </sheetPr>
  <dimension ref="B1:AB82"/>
  <sheetViews>
    <sheetView zoomScale="90" zoomScaleNormal="90" workbookViewId="0">
      <selection activeCell="K1" sqref="K1"/>
    </sheetView>
  </sheetViews>
  <sheetFormatPr baseColWidth="10" defaultColWidth="13.16406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0" width="14.1640625" style="119" customWidth="1"/>
    <col min="11" max="11" width="13.1640625" style="119" customWidth="1"/>
    <col min="12" max="12" width="13.1640625" style="118"/>
    <col min="13" max="13" width="13.1640625" style="120"/>
    <col min="14" max="15" width="13.1640625" style="118"/>
    <col min="16" max="16" width="13.1640625" style="120"/>
    <col min="17" max="18" width="13.1640625" style="118"/>
    <col min="19" max="19" width="13.1640625" style="120"/>
    <col min="20" max="27" width="13.1640625" style="118"/>
    <col min="28" max="28" width="13.1640625" style="120"/>
    <col min="29" max="16384" width="13.1640625" style="118"/>
  </cols>
  <sheetData>
    <row r="1" spans="2:28" s="123" customFormat="1" ht="15" customHeight="1" thickBot="1" x14ac:dyDescent="0.2">
      <c r="B1" s="156" t="s">
        <v>1463</v>
      </c>
      <c r="C1" s="1095" t="s">
        <v>874</v>
      </c>
      <c r="D1" s="1096"/>
      <c r="E1" s="1096"/>
      <c r="F1" s="1096"/>
      <c r="G1" s="1096"/>
      <c r="H1" s="1096"/>
      <c r="I1" s="1096"/>
      <c r="J1" s="1097"/>
      <c r="K1" s="981" t="s">
        <v>1478</v>
      </c>
      <c r="R1" s="124"/>
      <c r="U1" s="125"/>
    </row>
    <row r="2" spans="2:28" s="97" customFormat="1" ht="15" customHeight="1" x14ac:dyDescent="0.15">
      <c r="B2" s="102"/>
      <c r="C2" s="103"/>
      <c r="E2" s="66"/>
      <c r="F2" s="324"/>
      <c r="G2" s="325"/>
      <c r="H2" s="326"/>
      <c r="I2" s="320"/>
      <c r="J2" s="320"/>
      <c r="K2" s="148"/>
      <c r="P2" s="106"/>
      <c r="R2" s="100"/>
      <c r="U2" s="101"/>
    </row>
    <row r="3" spans="2:28" s="97" customFormat="1" ht="15" customHeight="1" x14ac:dyDescent="0.15">
      <c r="B3" s="107" t="s">
        <v>730</v>
      </c>
      <c r="C3" s="1080" t="str">
        <f>IF(CANOPY!C3="","",CANOPY!C3)</f>
        <v/>
      </c>
      <c r="D3" s="1080"/>
      <c r="E3" s="108" t="s">
        <v>75</v>
      </c>
      <c r="F3" s="1081" t="str">
        <f>IF(CANOPY!G3="","",CANOPY!G3)</f>
        <v/>
      </c>
      <c r="G3" s="1081"/>
      <c r="H3" s="326"/>
      <c r="I3" s="320"/>
      <c r="J3" s="320"/>
      <c r="K3" s="148"/>
      <c r="R3" s="100"/>
      <c r="U3" s="101"/>
    </row>
    <row r="4" spans="2:28" s="97" customFormat="1" ht="15" customHeight="1" x14ac:dyDescent="0.15">
      <c r="B4" s="102"/>
      <c r="C4" s="102"/>
      <c r="E4" s="109"/>
      <c r="F4" s="332"/>
      <c r="G4" s="333"/>
      <c r="H4" s="326"/>
      <c r="I4" s="320"/>
      <c r="J4" s="320"/>
      <c r="K4" s="148"/>
      <c r="R4" s="100"/>
      <c r="U4" s="101"/>
    </row>
    <row r="5" spans="2:28" s="97" customFormat="1" ht="15" customHeight="1" x14ac:dyDescent="0.15">
      <c r="B5" s="107" t="s">
        <v>72</v>
      </c>
      <c r="C5" s="1080" t="str">
        <f>IF(CANOPY!C5="","",CANOPY!C5)</f>
        <v/>
      </c>
      <c r="D5" s="1080"/>
      <c r="E5" s="108" t="s">
        <v>74</v>
      </c>
      <c r="F5" s="1081" t="str">
        <f>IF(CANOPY!G5="","",CANOPY!G5)</f>
        <v/>
      </c>
      <c r="G5" s="1081"/>
      <c r="H5" s="326"/>
      <c r="I5" s="320"/>
      <c r="J5" s="320"/>
      <c r="K5" s="148"/>
      <c r="L5" s="110"/>
      <c r="R5" s="100"/>
      <c r="U5" s="101"/>
    </row>
    <row r="6" spans="2:28" s="97" customFormat="1" ht="15" customHeight="1" x14ac:dyDescent="0.15">
      <c r="B6" s="107"/>
      <c r="C6" s="102"/>
      <c r="E6" s="108"/>
      <c r="F6" s="334"/>
      <c r="G6" s="335"/>
      <c r="H6" s="326"/>
      <c r="I6" s="320"/>
      <c r="J6" s="320"/>
      <c r="K6" s="148"/>
      <c r="L6" s="110"/>
      <c r="R6" s="111"/>
      <c r="U6" s="101"/>
    </row>
    <row r="7" spans="2:28" s="97" customFormat="1" ht="15" customHeight="1" x14ac:dyDescent="0.15">
      <c r="B7" s="80" t="s">
        <v>729</v>
      </c>
      <c r="C7" s="1080" t="str">
        <f>IF(CANOPY!C7="","",CANOPY!C7)</f>
        <v/>
      </c>
      <c r="D7" s="1080"/>
      <c r="E7" s="108" t="s">
        <v>73</v>
      </c>
      <c r="F7" s="1083" t="str">
        <f>IF(CANOPY!G7="","",CANOPY!G7)</f>
        <v/>
      </c>
      <c r="G7" s="1083"/>
      <c r="H7" s="326"/>
      <c r="J7" s="321" t="s">
        <v>76</v>
      </c>
      <c r="K7" s="907" t="str">
        <f>IF(CANOPY!O7="","",CANOPY!O7)</f>
        <v/>
      </c>
      <c r="L7" s="110"/>
      <c r="M7" s="1091" t="s">
        <v>1373</v>
      </c>
      <c r="N7" s="1091"/>
      <c r="O7" s="1091"/>
      <c r="R7" s="111"/>
      <c r="U7" s="101"/>
    </row>
    <row r="8" spans="2:28" s="116" customFormat="1" ht="15" customHeight="1" x14ac:dyDescent="0.2">
      <c r="B8" s="113"/>
      <c r="D8" s="102"/>
      <c r="E8" s="115"/>
      <c r="F8" s="327"/>
      <c r="G8" s="114"/>
      <c r="H8" s="322"/>
      <c r="I8" s="322"/>
      <c r="J8" s="322"/>
      <c r="K8" s="322"/>
      <c r="M8" s="117"/>
      <c r="P8" s="117"/>
      <c r="S8" s="117"/>
      <c r="AB8" s="117"/>
    </row>
    <row r="9" spans="2:28" ht="15" customHeight="1" x14ac:dyDescent="0.2">
      <c r="B9" s="38" t="s">
        <v>348</v>
      </c>
      <c r="C9" s="953">
        <v>0</v>
      </c>
      <c r="D9" s="377">
        <f>IF(C9=0,0,(SUBTOTAL(9,I12:I66)/(1-C9))-I9)</f>
        <v>0</v>
      </c>
      <c r="G9" s="25">
        <f>SUBTOTAL(9,G13:G66)</f>
        <v>8103</v>
      </c>
      <c r="H9" s="973">
        <f>IF(K9=0,"-",K9/I9)</f>
        <v>0.30358248057792825</v>
      </c>
      <c r="I9" s="25">
        <f>SUBTOTAL(9,I13:I67)</f>
        <v>11635.2615694165</v>
      </c>
      <c r="J9" s="465">
        <f>SUBTOTAL(9,J13:J66)</f>
        <v>11635.2615694165</v>
      </c>
      <c r="K9" s="25">
        <f>SUBTOTAL(9,K13:K66)</f>
        <v>3532.2615694164992</v>
      </c>
    </row>
    <row r="10" spans="2:28" ht="15" customHeight="1" x14ac:dyDescent="0.2">
      <c r="B10" s="2" t="s">
        <v>348</v>
      </c>
      <c r="C10" s="2" t="s">
        <v>537</v>
      </c>
      <c r="D10" s="2" t="s">
        <v>536</v>
      </c>
      <c r="E10" s="317"/>
      <c r="F10" s="2" t="s">
        <v>204</v>
      </c>
      <c r="G10" s="2" t="s">
        <v>34</v>
      </c>
      <c r="H10" s="3" t="s">
        <v>141</v>
      </c>
      <c r="I10" s="4" t="s">
        <v>205</v>
      </c>
      <c r="J10" s="4" t="s">
        <v>205</v>
      </c>
      <c r="K10" s="318" t="s">
        <v>206</v>
      </c>
    </row>
    <row r="11" spans="2:28" ht="15" customHeight="1" x14ac:dyDescent="0.2">
      <c r="B11" s="16"/>
      <c r="C11" s="17"/>
      <c r="D11" s="17"/>
      <c r="E11" s="18"/>
      <c r="F11" s="17"/>
      <c r="G11" s="17"/>
      <c r="H11" s="19"/>
      <c r="I11" s="20"/>
      <c r="J11" s="20"/>
      <c r="K11" s="21"/>
    </row>
    <row r="12" spans="2:28" ht="15" customHeight="1" x14ac:dyDescent="0.2">
      <c r="B12" s="24" t="s">
        <v>981</v>
      </c>
      <c r="C12" s="188" t="s">
        <v>994</v>
      </c>
      <c r="D12" s="188" t="s">
        <v>982</v>
      </c>
      <c r="E12" s="23"/>
      <c r="F12" s="22"/>
      <c r="G12" s="61">
        <f>SUBTOTAL(9,G13:G54)</f>
        <v>8103</v>
      </c>
      <c r="H12" s="39">
        <f>IF(G12=0,"-",K12/I12)</f>
        <v>0.30358248057792825</v>
      </c>
      <c r="I12" s="61">
        <f>SUBTOTAL(9,I13:I54)</f>
        <v>11635.2615694165</v>
      </c>
      <c r="J12" s="465">
        <f>SUBTOTAL(9,J13:J54)</f>
        <v>11635.2615694165</v>
      </c>
      <c r="K12" s="61">
        <f>SUBTOTAL(9,K13:K54)</f>
        <v>3532.2615694164992</v>
      </c>
    </row>
    <row r="13" spans="2:28" ht="15" customHeight="1" x14ac:dyDescent="0.2">
      <c r="B13" s="866" t="s">
        <v>991</v>
      </c>
      <c r="C13" s="251"/>
      <c r="D13" s="862"/>
      <c r="E13" s="252"/>
      <c r="F13" s="385"/>
      <c r="G13" s="378">
        <f t="shared" ref="G13:G54" si="0">C13*F13</f>
        <v>0</v>
      </c>
      <c r="H13" s="381">
        <v>0.28999999999999998</v>
      </c>
      <c r="I13" s="311">
        <f>G13/(1-H13)*(1+$C$9)</f>
        <v>0</v>
      </c>
      <c r="J13" s="378">
        <f>I13*VLOOKUP($B$9,'Base Costs'!$A$32:$B$37,2,FALSE)</f>
        <v>0</v>
      </c>
      <c r="K13" s="379">
        <f t="shared" ref="K13:K54" si="1">I13-G13</f>
        <v>0</v>
      </c>
    </row>
    <row r="14" spans="2:28" ht="15" customHeight="1" x14ac:dyDescent="0.2">
      <c r="B14" s="583" t="s">
        <v>987</v>
      </c>
      <c r="C14" s="251">
        <v>1</v>
      </c>
      <c r="D14" s="862" t="s">
        <v>983</v>
      </c>
      <c r="E14" s="252"/>
      <c r="F14" s="385">
        <v>590</v>
      </c>
      <c r="G14" s="378">
        <f t="shared" si="0"/>
        <v>590</v>
      </c>
      <c r="H14" s="381">
        <v>0.28999999999999998</v>
      </c>
      <c r="I14" s="311">
        <f t="shared" ref="I14:I54" si="2">G14/(1-H14)*(1+$C$9)</f>
        <v>830.98591549295782</v>
      </c>
      <c r="J14" s="378">
        <f>I14*VLOOKUP($B$9,'Base Costs'!$A$32:$B$37,2,FALSE)</f>
        <v>830.98591549295782</v>
      </c>
      <c r="K14" s="379">
        <f t="shared" si="1"/>
        <v>240.98591549295782</v>
      </c>
    </row>
    <row r="15" spans="2:28" ht="15" customHeight="1" x14ac:dyDescent="0.2">
      <c r="B15" s="583" t="s">
        <v>984</v>
      </c>
      <c r="C15" s="251">
        <v>2</v>
      </c>
      <c r="D15" s="862" t="s">
        <v>983</v>
      </c>
      <c r="E15" s="252"/>
      <c r="F15" s="385">
        <v>360</v>
      </c>
      <c r="G15" s="378">
        <f t="shared" si="0"/>
        <v>720</v>
      </c>
      <c r="H15" s="381">
        <v>0.28999999999999998</v>
      </c>
      <c r="I15" s="311">
        <f t="shared" si="2"/>
        <v>1014.0845070422536</v>
      </c>
      <c r="J15" s="378">
        <f>I15*VLOOKUP($B$9,'Base Costs'!$A$32:$B$37,2,FALSE)</f>
        <v>1014.0845070422536</v>
      </c>
      <c r="K15" s="379">
        <f t="shared" si="1"/>
        <v>294.08450704225356</v>
      </c>
    </row>
    <row r="16" spans="2:28" ht="15" customHeight="1" x14ac:dyDescent="0.2">
      <c r="B16" s="583" t="s">
        <v>985</v>
      </c>
      <c r="C16" s="251">
        <v>1</v>
      </c>
      <c r="D16" s="862" t="s">
        <v>983</v>
      </c>
      <c r="E16" s="252"/>
      <c r="F16" s="385">
        <v>200</v>
      </c>
      <c r="G16" s="378">
        <f t="shared" si="0"/>
        <v>200</v>
      </c>
      <c r="H16" s="381">
        <v>0.28999999999999998</v>
      </c>
      <c r="I16" s="311">
        <f t="shared" si="2"/>
        <v>281.69014084507046</v>
      </c>
      <c r="J16" s="378">
        <f>I16*VLOOKUP($B$9,'Base Costs'!$A$32:$B$37,2,FALSE)</f>
        <v>281.69014084507046</v>
      </c>
      <c r="K16" s="379">
        <f t="shared" si="1"/>
        <v>81.690140845070459</v>
      </c>
    </row>
    <row r="17" spans="2:11" ht="15" customHeight="1" x14ac:dyDescent="0.2">
      <c r="B17" s="583" t="s">
        <v>986</v>
      </c>
      <c r="C17" s="251">
        <v>1</v>
      </c>
      <c r="D17" s="862" t="s">
        <v>983</v>
      </c>
      <c r="E17" s="252"/>
      <c r="F17" s="385">
        <v>250</v>
      </c>
      <c r="G17" s="378">
        <f t="shared" si="0"/>
        <v>250</v>
      </c>
      <c r="H17" s="381">
        <v>0.28999999999999998</v>
      </c>
      <c r="I17" s="311">
        <f t="shared" si="2"/>
        <v>352.11267605633805</v>
      </c>
      <c r="J17" s="378">
        <f>I17*VLOOKUP($B$9,'Base Costs'!$A$32:$B$37,2,FALSE)</f>
        <v>352.11267605633805</v>
      </c>
      <c r="K17" s="379">
        <f t="shared" si="1"/>
        <v>102.11267605633805</v>
      </c>
    </row>
    <row r="18" spans="2:11" ht="15" customHeight="1" x14ac:dyDescent="0.2">
      <c r="B18" s="583"/>
      <c r="C18" s="251"/>
      <c r="D18" s="253"/>
      <c r="E18" s="252"/>
      <c r="F18" s="385">
        <f>26*1.03</f>
        <v>26.78</v>
      </c>
      <c r="G18" s="378">
        <f t="shared" si="0"/>
        <v>0</v>
      </c>
      <c r="H18" s="381">
        <v>0.28999999999999998</v>
      </c>
      <c r="I18" s="311">
        <f t="shared" si="2"/>
        <v>0</v>
      </c>
      <c r="J18" s="378">
        <f>I18*VLOOKUP($B$9,'Base Costs'!$A$32:$B$37,2,FALSE)</f>
        <v>0</v>
      </c>
      <c r="K18" s="379">
        <f t="shared" si="1"/>
        <v>0</v>
      </c>
    </row>
    <row r="19" spans="2:11" ht="15" customHeight="1" x14ac:dyDescent="0.2">
      <c r="B19" s="863" t="s">
        <v>987</v>
      </c>
      <c r="C19" s="251">
        <v>1</v>
      </c>
      <c r="D19" s="862" t="s">
        <v>988</v>
      </c>
      <c r="E19" s="252"/>
      <c r="F19" s="385">
        <v>590</v>
      </c>
      <c r="G19" s="378">
        <f t="shared" si="0"/>
        <v>590</v>
      </c>
      <c r="H19" s="381">
        <v>0.44</v>
      </c>
      <c r="I19" s="311">
        <f t="shared" si="2"/>
        <v>1053.5714285714284</v>
      </c>
      <c r="J19" s="378">
        <f>I19*VLOOKUP($B$9,'Base Costs'!$A$32:$B$37,2,FALSE)</f>
        <v>1053.5714285714284</v>
      </c>
      <c r="K19" s="379">
        <f t="shared" si="1"/>
        <v>463.57142857142844</v>
      </c>
    </row>
    <row r="20" spans="2:11" ht="15" customHeight="1" x14ac:dyDescent="0.2">
      <c r="B20" s="863" t="s">
        <v>984</v>
      </c>
      <c r="C20" s="251">
        <v>2</v>
      </c>
      <c r="D20" s="862" t="s">
        <v>988</v>
      </c>
      <c r="E20" s="252"/>
      <c r="F20" s="385">
        <v>404</v>
      </c>
      <c r="G20" s="378">
        <f t="shared" si="0"/>
        <v>808</v>
      </c>
      <c r="H20" s="381">
        <v>0.28999999999999998</v>
      </c>
      <c r="I20" s="311">
        <f t="shared" si="2"/>
        <v>1138.0281690140846</v>
      </c>
      <c r="J20" s="378">
        <f>I20*VLOOKUP($B$9,'Base Costs'!$A$32:$B$37,2,FALSE)</f>
        <v>1138.0281690140846</v>
      </c>
      <c r="K20" s="379">
        <f t="shared" si="1"/>
        <v>330.0281690140846</v>
      </c>
    </row>
    <row r="21" spans="2:11" ht="15" customHeight="1" x14ac:dyDescent="0.2">
      <c r="B21" s="581"/>
      <c r="C21" s="251"/>
      <c r="D21" s="254"/>
      <c r="E21" s="252"/>
      <c r="F21" s="385">
        <v>0</v>
      </c>
      <c r="G21" s="378">
        <f t="shared" si="0"/>
        <v>0</v>
      </c>
      <c r="H21" s="381">
        <v>0.28999999999999998</v>
      </c>
      <c r="I21" s="311">
        <f t="shared" si="2"/>
        <v>0</v>
      </c>
      <c r="J21" s="378">
        <f>I21*VLOOKUP($B$9,'Base Costs'!$A$32:$B$37,2,FALSE)</f>
        <v>0</v>
      </c>
      <c r="K21" s="379">
        <f t="shared" si="1"/>
        <v>0</v>
      </c>
    </row>
    <row r="22" spans="2:11" ht="15" customHeight="1" x14ac:dyDescent="0.2">
      <c r="B22" s="581"/>
      <c r="C22" s="251"/>
      <c r="D22" s="253"/>
      <c r="E22" s="252"/>
      <c r="F22" s="385">
        <v>0</v>
      </c>
      <c r="G22" s="378">
        <f t="shared" si="0"/>
        <v>0</v>
      </c>
      <c r="H22" s="381">
        <v>0.28999999999999998</v>
      </c>
      <c r="I22" s="311">
        <f t="shared" si="2"/>
        <v>0</v>
      </c>
      <c r="J22" s="378">
        <f>I22*VLOOKUP($B$9,'Base Costs'!$A$32:$B$37,2,FALSE)</f>
        <v>0</v>
      </c>
      <c r="K22" s="379">
        <f t="shared" si="1"/>
        <v>0</v>
      </c>
    </row>
    <row r="23" spans="2:11" ht="15" customHeight="1" x14ac:dyDescent="0.2">
      <c r="B23" s="866" t="s">
        <v>989</v>
      </c>
      <c r="C23" s="251"/>
      <c r="D23" s="253"/>
      <c r="E23" s="252"/>
      <c r="F23" s="385">
        <v>0</v>
      </c>
      <c r="G23" s="378">
        <f t="shared" si="0"/>
        <v>0</v>
      </c>
      <c r="H23" s="381">
        <v>0.28999999999999998</v>
      </c>
      <c r="I23" s="311">
        <f t="shared" si="2"/>
        <v>0</v>
      </c>
      <c r="J23" s="378">
        <f>I23*VLOOKUP($B$9,'Base Costs'!$A$32:$B$37,2,FALSE)</f>
        <v>0</v>
      </c>
      <c r="K23" s="379">
        <f t="shared" si="1"/>
        <v>0</v>
      </c>
    </row>
    <row r="24" spans="2:11" ht="15" customHeight="1" x14ac:dyDescent="0.2">
      <c r="B24" s="867" t="s">
        <v>987</v>
      </c>
      <c r="C24" s="251">
        <v>1</v>
      </c>
      <c r="D24" s="862" t="s">
        <v>983</v>
      </c>
      <c r="E24" s="252"/>
      <c r="F24" s="385">
        <v>250</v>
      </c>
      <c r="G24" s="378">
        <f t="shared" si="0"/>
        <v>250</v>
      </c>
      <c r="H24" s="381">
        <v>0.28999999999999998</v>
      </c>
      <c r="I24" s="311">
        <f t="shared" si="2"/>
        <v>352.11267605633805</v>
      </c>
      <c r="J24" s="378">
        <f>I24*VLOOKUP($B$9,'Base Costs'!$A$32:$B$37,2,FALSE)</f>
        <v>352.11267605633805</v>
      </c>
      <c r="K24" s="379">
        <f t="shared" si="1"/>
        <v>102.11267605633805</v>
      </c>
    </row>
    <row r="25" spans="2:11" ht="15" customHeight="1" x14ac:dyDescent="0.2">
      <c r="B25" s="865" t="s">
        <v>984</v>
      </c>
      <c r="C25" s="251">
        <v>0.5</v>
      </c>
      <c r="D25" s="862" t="s">
        <v>983</v>
      </c>
      <c r="E25" s="252"/>
      <c r="F25" s="385">
        <v>360</v>
      </c>
      <c r="G25" s="378">
        <f t="shared" si="0"/>
        <v>180</v>
      </c>
      <c r="H25" s="381">
        <v>0.28999999999999998</v>
      </c>
      <c r="I25" s="311">
        <f t="shared" si="2"/>
        <v>253.52112676056339</v>
      </c>
      <c r="J25" s="378">
        <f>I25*VLOOKUP($B$9,'Base Costs'!$A$32:$B$37,2,FALSE)</f>
        <v>253.52112676056339</v>
      </c>
      <c r="K25" s="379">
        <f t="shared" si="1"/>
        <v>73.521126760563391</v>
      </c>
    </row>
    <row r="26" spans="2:11" ht="15" customHeight="1" x14ac:dyDescent="0.2">
      <c r="B26" s="582"/>
      <c r="C26" s="251"/>
      <c r="D26" s="253"/>
      <c r="E26" s="252"/>
      <c r="F26" s="385"/>
      <c r="G26" s="378">
        <f t="shared" si="0"/>
        <v>0</v>
      </c>
      <c r="H26" s="381">
        <v>0.28999999999999998</v>
      </c>
      <c r="I26" s="311">
        <f t="shared" si="2"/>
        <v>0</v>
      </c>
      <c r="J26" s="378">
        <f>I26*VLOOKUP($B$9,'Base Costs'!$A$32:$B$37,2,FALSE)</f>
        <v>0</v>
      </c>
      <c r="K26" s="379">
        <f t="shared" si="1"/>
        <v>0</v>
      </c>
    </row>
    <row r="27" spans="2:11" ht="15" customHeight="1" x14ac:dyDescent="0.2">
      <c r="B27" s="868" t="s">
        <v>987</v>
      </c>
      <c r="C27" s="251">
        <v>1</v>
      </c>
      <c r="D27" s="862" t="s">
        <v>988</v>
      </c>
      <c r="E27" s="252"/>
      <c r="F27" s="385">
        <v>250</v>
      </c>
      <c r="G27" s="378">
        <f t="shared" si="0"/>
        <v>250</v>
      </c>
      <c r="H27" s="381">
        <v>0.28999999999999998</v>
      </c>
      <c r="I27" s="311">
        <f t="shared" si="2"/>
        <v>352.11267605633805</v>
      </c>
      <c r="J27" s="378">
        <f>I27*VLOOKUP($B$9,'Base Costs'!$A$32:$B$37,2,FALSE)</f>
        <v>352.11267605633805</v>
      </c>
      <c r="K27" s="379">
        <f t="shared" si="1"/>
        <v>102.11267605633805</v>
      </c>
    </row>
    <row r="28" spans="2:11" ht="15" customHeight="1" x14ac:dyDescent="0.2">
      <c r="B28" s="868" t="s">
        <v>984</v>
      </c>
      <c r="C28" s="251">
        <v>0.5</v>
      </c>
      <c r="D28" s="862" t="s">
        <v>988</v>
      </c>
      <c r="E28" s="252"/>
      <c r="F28" s="385">
        <v>404</v>
      </c>
      <c r="G28" s="378">
        <f t="shared" si="0"/>
        <v>202</v>
      </c>
      <c r="H28" s="381">
        <v>0.28999999999999998</v>
      </c>
      <c r="I28" s="311">
        <f t="shared" si="2"/>
        <v>284.50704225352115</v>
      </c>
      <c r="J28" s="378">
        <f>I28*VLOOKUP($B$9,'Base Costs'!$A$32:$B$37,2,FALSE)</f>
        <v>284.50704225352115</v>
      </c>
      <c r="K28" s="379">
        <f t="shared" si="1"/>
        <v>82.507042253521149</v>
      </c>
    </row>
    <row r="29" spans="2:11" ht="15" customHeight="1" x14ac:dyDescent="0.2">
      <c r="B29" s="582"/>
      <c r="C29" s="251"/>
      <c r="D29" s="253"/>
      <c r="E29" s="252"/>
      <c r="F29" s="385">
        <v>0</v>
      </c>
      <c r="G29" s="378">
        <f t="shared" si="0"/>
        <v>0</v>
      </c>
      <c r="H29" s="381">
        <v>0.28999999999999998</v>
      </c>
      <c r="I29" s="311">
        <f t="shared" si="2"/>
        <v>0</v>
      </c>
      <c r="J29" s="378">
        <f>I29*VLOOKUP($B$9,'Base Costs'!$A$32:$B$37,2,FALSE)</f>
        <v>0</v>
      </c>
      <c r="K29" s="379">
        <f>I29-G29</f>
        <v>0</v>
      </c>
    </row>
    <row r="30" spans="2:11" ht="15" customHeight="1" x14ac:dyDescent="0.2">
      <c r="B30" s="582"/>
      <c r="C30" s="251"/>
      <c r="D30" s="253"/>
      <c r="E30" s="252"/>
      <c r="F30" s="385">
        <v>0</v>
      </c>
      <c r="G30" s="378">
        <f t="shared" si="0"/>
        <v>0</v>
      </c>
      <c r="H30" s="381">
        <v>0.28999999999999998</v>
      </c>
      <c r="I30" s="311">
        <f t="shared" si="2"/>
        <v>0</v>
      </c>
      <c r="J30" s="378">
        <f>I30*VLOOKUP($B$9,'Base Costs'!$A$32:$B$37,2,FALSE)</f>
        <v>0</v>
      </c>
      <c r="K30" s="379">
        <f t="shared" si="1"/>
        <v>0</v>
      </c>
    </row>
    <row r="31" spans="2:11" ht="15" customHeight="1" x14ac:dyDescent="0.2">
      <c r="B31" s="869" t="s">
        <v>992</v>
      </c>
      <c r="C31" s="251"/>
      <c r="D31" s="253"/>
      <c r="E31" s="252"/>
      <c r="F31" s="385">
        <v>0</v>
      </c>
      <c r="G31" s="378">
        <f t="shared" si="0"/>
        <v>0</v>
      </c>
      <c r="H31" s="381">
        <v>0.28999999999999998</v>
      </c>
      <c r="I31" s="311">
        <f t="shared" si="2"/>
        <v>0</v>
      </c>
      <c r="J31" s="378">
        <f>I31*VLOOKUP($B$9,'Base Costs'!$A$32:$B$37,2,FALSE)</f>
        <v>0</v>
      </c>
      <c r="K31" s="379">
        <f t="shared" si="1"/>
        <v>0</v>
      </c>
    </row>
    <row r="32" spans="2:11" ht="15" customHeight="1" x14ac:dyDescent="0.2">
      <c r="B32" s="868" t="s">
        <v>987</v>
      </c>
      <c r="C32" s="251">
        <v>1</v>
      </c>
      <c r="D32" s="862" t="s">
        <v>983</v>
      </c>
      <c r="E32" s="252"/>
      <c r="F32" s="385">
        <v>555</v>
      </c>
      <c r="G32" s="378">
        <f t="shared" si="0"/>
        <v>555</v>
      </c>
      <c r="H32" s="381">
        <v>0.28999999999999998</v>
      </c>
      <c r="I32" s="311">
        <f t="shared" si="2"/>
        <v>781.69014084507046</v>
      </c>
      <c r="J32" s="378">
        <f>I32*VLOOKUP($B$9,'Base Costs'!$A$32:$B$37,2,FALSE)</f>
        <v>781.69014084507046</v>
      </c>
      <c r="K32" s="379">
        <f t="shared" si="1"/>
        <v>226.69014084507046</v>
      </c>
    </row>
    <row r="33" spans="2:11" ht="15" customHeight="1" x14ac:dyDescent="0.2">
      <c r="B33" s="582" t="s">
        <v>984</v>
      </c>
      <c r="C33" s="251">
        <v>1</v>
      </c>
      <c r="D33" s="862" t="s">
        <v>983</v>
      </c>
      <c r="E33" s="252"/>
      <c r="F33" s="385">
        <v>360</v>
      </c>
      <c r="G33" s="378">
        <f t="shared" si="0"/>
        <v>360</v>
      </c>
      <c r="H33" s="381">
        <v>0.28999999999999998</v>
      </c>
      <c r="I33" s="311">
        <f t="shared" si="2"/>
        <v>507.04225352112678</v>
      </c>
      <c r="J33" s="378">
        <f>I33*VLOOKUP($B$9,'Base Costs'!$A$32:$B$37,2,FALSE)</f>
        <v>507.04225352112678</v>
      </c>
      <c r="K33" s="379">
        <f t="shared" si="1"/>
        <v>147.04225352112678</v>
      </c>
    </row>
    <row r="34" spans="2:11" ht="15" customHeight="1" x14ac:dyDescent="0.2">
      <c r="B34" s="582" t="s">
        <v>990</v>
      </c>
      <c r="C34" s="251">
        <v>2</v>
      </c>
      <c r="D34" s="862" t="s">
        <v>983</v>
      </c>
      <c r="E34" s="252"/>
      <c r="F34" s="385">
        <v>75</v>
      </c>
      <c r="G34" s="378">
        <f t="shared" si="0"/>
        <v>150</v>
      </c>
      <c r="H34" s="381">
        <v>0.28999999999999998</v>
      </c>
      <c r="I34" s="311">
        <f t="shared" si="2"/>
        <v>211.26760563380282</v>
      </c>
      <c r="J34" s="378">
        <f>I34*VLOOKUP($B$9,'Base Costs'!$A$32:$B$37,2,FALSE)</f>
        <v>211.26760563380282</v>
      </c>
      <c r="K34" s="379">
        <f t="shared" si="1"/>
        <v>61.267605633802816</v>
      </c>
    </row>
    <row r="35" spans="2:11" ht="15" customHeight="1" x14ac:dyDescent="0.2">
      <c r="B35" s="582" t="s">
        <v>986</v>
      </c>
      <c r="C35" s="251">
        <v>1</v>
      </c>
      <c r="D35" s="862" t="s">
        <v>983</v>
      </c>
      <c r="E35" s="252"/>
      <c r="F35" s="385">
        <v>250</v>
      </c>
      <c r="G35" s="378">
        <f t="shared" si="0"/>
        <v>250</v>
      </c>
      <c r="H35" s="381">
        <v>0.28999999999999998</v>
      </c>
      <c r="I35" s="311">
        <f t="shared" si="2"/>
        <v>352.11267605633805</v>
      </c>
      <c r="J35" s="378">
        <f>I35*VLOOKUP($B$9,'Base Costs'!$A$32:$B$37,2,FALSE)</f>
        <v>352.11267605633805</v>
      </c>
      <c r="K35" s="379">
        <f t="shared" si="1"/>
        <v>102.11267605633805</v>
      </c>
    </row>
    <row r="36" spans="2:11" ht="15" customHeight="1" x14ac:dyDescent="0.2">
      <c r="B36" s="582"/>
      <c r="C36" s="251"/>
      <c r="D36" s="253"/>
      <c r="E36" s="252"/>
      <c r="F36" s="385">
        <f>26*1.03</f>
        <v>26.78</v>
      </c>
      <c r="G36" s="378">
        <f t="shared" si="0"/>
        <v>0</v>
      </c>
      <c r="H36" s="381">
        <v>0.28999999999999998</v>
      </c>
      <c r="I36" s="311">
        <f t="shared" si="2"/>
        <v>0</v>
      </c>
      <c r="J36" s="378">
        <f>I36*VLOOKUP($B$9,'Base Costs'!$A$32:$B$37,2,FALSE)</f>
        <v>0</v>
      </c>
      <c r="K36" s="379">
        <f t="shared" si="1"/>
        <v>0</v>
      </c>
    </row>
    <row r="37" spans="2:11" ht="15" customHeight="1" x14ac:dyDescent="0.2">
      <c r="B37" s="868" t="s">
        <v>987</v>
      </c>
      <c r="C37" s="251">
        <v>1</v>
      </c>
      <c r="D37" s="862" t="s">
        <v>988</v>
      </c>
      <c r="E37" s="252"/>
      <c r="F37" s="385">
        <v>555</v>
      </c>
      <c r="G37" s="378">
        <f t="shared" si="0"/>
        <v>555</v>
      </c>
      <c r="H37" s="381">
        <v>0.28999999999999998</v>
      </c>
      <c r="I37" s="311">
        <f t="shared" si="2"/>
        <v>781.69014084507046</v>
      </c>
      <c r="J37" s="378">
        <f>I37*VLOOKUP($B$9,'Base Costs'!$A$32:$B$37,2,FALSE)</f>
        <v>781.69014084507046</v>
      </c>
      <c r="K37" s="379">
        <f t="shared" si="1"/>
        <v>226.69014084507046</v>
      </c>
    </row>
    <row r="38" spans="2:11" ht="15" customHeight="1" x14ac:dyDescent="0.2">
      <c r="B38" s="582" t="s">
        <v>984</v>
      </c>
      <c r="C38" s="251">
        <v>1</v>
      </c>
      <c r="D38" s="862" t="s">
        <v>988</v>
      </c>
      <c r="E38" s="252"/>
      <c r="F38" s="385">
        <v>404</v>
      </c>
      <c r="G38" s="378">
        <f t="shared" si="0"/>
        <v>404</v>
      </c>
      <c r="H38" s="381">
        <v>0.28999999999999998</v>
      </c>
      <c r="I38" s="311">
        <f t="shared" si="2"/>
        <v>569.0140845070423</v>
      </c>
      <c r="J38" s="378">
        <f>I38*VLOOKUP($B$9,'Base Costs'!$A$32:$B$37,2,FALSE)</f>
        <v>569.0140845070423</v>
      </c>
      <c r="K38" s="379">
        <f t="shared" si="1"/>
        <v>165.0140845070423</v>
      </c>
    </row>
    <row r="39" spans="2:11" ht="15" customHeight="1" x14ac:dyDescent="0.2">
      <c r="B39" s="582" t="s">
        <v>990</v>
      </c>
      <c r="C39" s="251">
        <v>2</v>
      </c>
      <c r="D39" s="862" t="s">
        <v>988</v>
      </c>
      <c r="E39" s="252"/>
      <c r="F39" s="385">
        <v>75</v>
      </c>
      <c r="G39" s="378">
        <f t="shared" si="0"/>
        <v>150</v>
      </c>
      <c r="H39" s="381">
        <v>0.28999999999999998</v>
      </c>
      <c r="I39" s="311">
        <f t="shared" si="2"/>
        <v>211.26760563380282</v>
      </c>
      <c r="J39" s="378">
        <f>I39*VLOOKUP($B$9,'Base Costs'!$A$32:$B$37,2,FALSE)</f>
        <v>211.26760563380282</v>
      </c>
      <c r="K39" s="379">
        <f t="shared" si="1"/>
        <v>61.267605633802816</v>
      </c>
    </row>
    <row r="40" spans="2:11" ht="15" customHeight="1" x14ac:dyDescent="0.2">
      <c r="B40" s="583"/>
      <c r="C40" s="251"/>
      <c r="D40" s="792"/>
      <c r="E40" s="252"/>
      <c r="F40" s="385"/>
      <c r="G40" s="378">
        <f t="shared" si="0"/>
        <v>0</v>
      </c>
      <c r="H40" s="381">
        <v>0.28999999999999998</v>
      </c>
      <c r="I40" s="311">
        <f t="shared" si="2"/>
        <v>0</v>
      </c>
      <c r="J40" s="378">
        <f>I40*VLOOKUP($B$9,'Base Costs'!$A$32:$B$37,2,FALSE)</f>
        <v>0</v>
      </c>
      <c r="K40" s="379">
        <f t="shared" si="1"/>
        <v>0</v>
      </c>
    </row>
    <row r="41" spans="2:11" ht="15" customHeight="1" x14ac:dyDescent="0.2">
      <c r="B41" s="583"/>
      <c r="C41" s="251"/>
      <c r="D41" s="793"/>
      <c r="E41" s="252"/>
      <c r="F41" s="385"/>
      <c r="G41" s="378">
        <f t="shared" si="0"/>
        <v>0</v>
      </c>
      <c r="H41" s="381">
        <v>0.28999999999999998</v>
      </c>
      <c r="I41" s="311">
        <f t="shared" si="2"/>
        <v>0</v>
      </c>
      <c r="J41" s="378">
        <f>I41*VLOOKUP($B$9,'Base Costs'!$A$32:$B$37,2,FALSE)</f>
        <v>0</v>
      </c>
      <c r="K41" s="379">
        <f t="shared" si="1"/>
        <v>0</v>
      </c>
    </row>
    <row r="42" spans="2:11" ht="15" customHeight="1" x14ac:dyDescent="0.2">
      <c r="B42" s="869" t="s">
        <v>993</v>
      </c>
      <c r="C42" s="251"/>
      <c r="D42" s="793"/>
      <c r="E42" s="252"/>
      <c r="F42" s="385"/>
      <c r="G42" s="378">
        <f t="shared" si="0"/>
        <v>0</v>
      </c>
      <c r="H42" s="381">
        <v>0.28999999999999998</v>
      </c>
      <c r="I42" s="311">
        <f t="shared" si="2"/>
        <v>0</v>
      </c>
      <c r="J42" s="378">
        <f>I42*VLOOKUP($B$9,'Base Costs'!$A$32:$B$37,2,FALSE)</f>
        <v>0</v>
      </c>
      <c r="K42" s="379">
        <f t="shared" si="1"/>
        <v>0</v>
      </c>
    </row>
    <row r="43" spans="2:11" ht="15" customHeight="1" x14ac:dyDescent="0.2">
      <c r="B43" s="864" t="s">
        <v>987</v>
      </c>
      <c r="C43" s="251">
        <v>1</v>
      </c>
      <c r="D43" s="862" t="s">
        <v>983</v>
      </c>
      <c r="E43" s="252"/>
      <c r="F43" s="385">
        <v>250</v>
      </c>
      <c r="G43" s="378">
        <f t="shared" si="0"/>
        <v>250</v>
      </c>
      <c r="H43" s="381">
        <v>0.28999999999999998</v>
      </c>
      <c r="I43" s="311">
        <f t="shared" si="2"/>
        <v>352.11267605633805</v>
      </c>
      <c r="J43" s="378">
        <f>I43*VLOOKUP($B$9,'Base Costs'!$A$32:$B$37,2,FALSE)</f>
        <v>352.11267605633805</v>
      </c>
      <c r="K43" s="379">
        <f t="shared" si="1"/>
        <v>102.11267605633805</v>
      </c>
    </row>
    <row r="44" spans="2:11" ht="15" customHeight="1" x14ac:dyDescent="0.2">
      <c r="B44" s="864" t="s">
        <v>984</v>
      </c>
      <c r="C44" s="251">
        <v>1</v>
      </c>
      <c r="D44" s="862" t="s">
        <v>983</v>
      </c>
      <c r="E44" s="252"/>
      <c r="F44" s="385">
        <v>360</v>
      </c>
      <c r="G44" s="378">
        <f t="shared" si="0"/>
        <v>360</v>
      </c>
      <c r="H44" s="381">
        <v>0.28999999999999998</v>
      </c>
      <c r="I44" s="311">
        <f t="shared" si="2"/>
        <v>507.04225352112678</v>
      </c>
      <c r="J44" s="378">
        <f>I44*VLOOKUP($B$9,'Base Costs'!$A$32:$B$37,2,FALSE)</f>
        <v>507.04225352112678</v>
      </c>
      <c r="K44" s="379">
        <f t="shared" si="1"/>
        <v>147.04225352112678</v>
      </c>
    </row>
    <row r="45" spans="2:11" ht="15" customHeight="1" x14ac:dyDescent="0.2">
      <c r="B45" s="864" t="s">
        <v>990</v>
      </c>
      <c r="C45" s="251">
        <v>2</v>
      </c>
      <c r="D45" s="862" t="s">
        <v>983</v>
      </c>
      <c r="E45" s="252"/>
      <c r="F45" s="385">
        <v>75</v>
      </c>
      <c r="G45" s="378">
        <f t="shared" si="0"/>
        <v>150</v>
      </c>
      <c r="H45" s="381">
        <v>0.28999999999999998</v>
      </c>
      <c r="I45" s="311">
        <f t="shared" si="2"/>
        <v>211.26760563380282</v>
      </c>
      <c r="J45" s="378">
        <f>I45*VLOOKUP($B$9,'Base Costs'!$A$32:$B$37,2,FALSE)</f>
        <v>211.26760563380282</v>
      </c>
      <c r="K45" s="379">
        <f t="shared" si="1"/>
        <v>61.267605633802816</v>
      </c>
    </row>
    <row r="46" spans="2:11" ht="15" customHeight="1" x14ac:dyDescent="0.2">
      <c r="B46" s="864" t="s">
        <v>986</v>
      </c>
      <c r="C46" s="251">
        <v>1</v>
      </c>
      <c r="D46" s="862" t="s">
        <v>983</v>
      </c>
      <c r="E46" s="252"/>
      <c r="F46" s="385">
        <v>250</v>
      </c>
      <c r="G46" s="378">
        <f t="shared" si="0"/>
        <v>250</v>
      </c>
      <c r="H46" s="381">
        <v>0.28999999999999998</v>
      </c>
      <c r="I46" s="311">
        <f t="shared" si="2"/>
        <v>352.11267605633805</v>
      </c>
      <c r="J46" s="378">
        <f>I46*VLOOKUP($B$9,'Base Costs'!$A$32:$B$37,2,FALSE)</f>
        <v>352.11267605633805</v>
      </c>
      <c r="K46" s="379">
        <f t="shared" si="1"/>
        <v>102.11267605633805</v>
      </c>
    </row>
    <row r="47" spans="2:11" ht="15" customHeight="1" x14ac:dyDescent="0.2">
      <c r="B47" s="864"/>
      <c r="C47" s="251"/>
      <c r="D47" s="1092"/>
      <c r="E47" s="1093"/>
      <c r="F47" s="385">
        <v>550</v>
      </c>
      <c r="G47" s="378">
        <f t="shared" si="0"/>
        <v>0</v>
      </c>
      <c r="H47" s="381">
        <v>0.28999999999999998</v>
      </c>
      <c r="I47" s="311">
        <f t="shared" si="2"/>
        <v>0</v>
      </c>
      <c r="J47" s="378">
        <f>I47*VLOOKUP($B$9,'Base Costs'!$A$32:$B$37,2,FALSE)</f>
        <v>0</v>
      </c>
      <c r="K47" s="379">
        <f t="shared" si="1"/>
        <v>0</v>
      </c>
    </row>
    <row r="48" spans="2:11" ht="15" customHeight="1" x14ac:dyDescent="0.2">
      <c r="B48" s="864" t="s">
        <v>987</v>
      </c>
      <c r="C48" s="251">
        <v>1</v>
      </c>
      <c r="D48" s="862" t="s">
        <v>988</v>
      </c>
      <c r="E48" s="252"/>
      <c r="F48" s="385">
        <v>75</v>
      </c>
      <c r="G48" s="378">
        <f t="shared" si="0"/>
        <v>75</v>
      </c>
      <c r="H48" s="381">
        <v>0.28999999999999998</v>
      </c>
      <c r="I48" s="311">
        <f t="shared" si="2"/>
        <v>105.63380281690141</v>
      </c>
      <c r="J48" s="378">
        <f>I48*VLOOKUP($B$9,'Base Costs'!$A$32:$B$37,2,FALSE)</f>
        <v>105.63380281690141</v>
      </c>
      <c r="K48" s="379">
        <f t="shared" si="1"/>
        <v>30.633802816901408</v>
      </c>
    </row>
    <row r="49" spans="2:21" ht="15" customHeight="1" x14ac:dyDescent="0.2">
      <c r="B49" s="864" t="s">
        <v>984</v>
      </c>
      <c r="C49" s="251">
        <v>1</v>
      </c>
      <c r="D49" s="862" t="s">
        <v>988</v>
      </c>
      <c r="E49" s="252"/>
      <c r="F49" s="385">
        <v>404</v>
      </c>
      <c r="G49" s="378">
        <f t="shared" si="0"/>
        <v>404</v>
      </c>
      <c r="H49" s="381">
        <v>0.28999999999999998</v>
      </c>
      <c r="I49" s="311">
        <f t="shared" si="2"/>
        <v>569.0140845070423</v>
      </c>
      <c r="J49" s="378">
        <f>I49*VLOOKUP($B$9,'Base Costs'!$A$32:$B$37,2,FALSE)</f>
        <v>569.0140845070423</v>
      </c>
      <c r="K49" s="379">
        <f t="shared" si="1"/>
        <v>165.0140845070423</v>
      </c>
    </row>
    <row r="50" spans="2:21" ht="15" customHeight="1" x14ac:dyDescent="0.2">
      <c r="B50" s="864" t="s">
        <v>990</v>
      </c>
      <c r="C50" s="251">
        <v>2</v>
      </c>
      <c r="D50" s="862" t="s">
        <v>988</v>
      </c>
      <c r="E50" s="252"/>
      <c r="F50" s="385">
        <v>75</v>
      </c>
      <c r="G50" s="378">
        <f t="shared" si="0"/>
        <v>150</v>
      </c>
      <c r="H50" s="381">
        <v>0.28999999999999998</v>
      </c>
      <c r="I50" s="311">
        <f t="shared" si="2"/>
        <v>211.26760563380282</v>
      </c>
      <c r="J50" s="378">
        <f>I50*VLOOKUP($B$9,'Base Costs'!$A$32:$B$37,2,FALSE)</f>
        <v>211.26760563380282</v>
      </c>
      <c r="K50" s="379">
        <f t="shared" si="1"/>
        <v>61.267605633802816</v>
      </c>
    </row>
    <row r="51" spans="2:21" ht="15" customHeight="1" x14ac:dyDescent="0.2">
      <c r="B51" s="584"/>
      <c r="C51" s="251"/>
      <c r="D51" s="255"/>
      <c r="E51" s="252"/>
      <c r="F51" s="385">
        <v>0</v>
      </c>
      <c r="G51" s="378">
        <f t="shared" si="0"/>
        <v>0</v>
      </c>
      <c r="H51" s="381">
        <v>0.28999999999999998</v>
      </c>
      <c r="I51" s="311">
        <f t="shared" si="2"/>
        <v>0</v>
      </c>
      <c r="J51" s="378">
        <f>I51*VLOOKUP($B$9,'Base Costs'!$A$32:$B$37,2,FALSE)</f>
        <v>0</v>
      </c>
      <c r="K51" s="379">
        <f t="shared" si="1"/>
        <v>0</v>
      </c>
    </row>
    <row r="52" spans="2:21" ht="15" customHeight="1" x14ac:dyDescent="0.2">
      <c r="B52" s="584"/>
      <c r="C52" s="251"/>
      <c r="D52" s="253"/>
      <c r="E52" s="252"/>
      <c r="F52" s="385">
        <v>0</v>
      </c>
      <c r="G52" s="378">
        <f t="shared" si="0"/>
        <v>0</v>
      </c>
      <c r="H52" s="381">
        <v>0.28999999999999998</v>
      </c>
      <c r="I52" s="311">
        <f t="shared" si="2"/>
        <v>0</v>
      </c>
      <c r="J52" s="378">
        <f>I52*VLOOKUP($B$9,'Base Costs'!$A$32:$B$37,2,FALSE)</f>
        <v>0</v>
      </c>
      <c r="K52" s="379">
        <f t="shared" si="1"/>
        <v>0</v>
      </c>
    </row>
    <row r="53" spans="2:21" ht="15" customHeight="1" x14ac:dyDescent="0.2">
      <c r="B53" s="584"/>
      <c r="C53" s="251"/>
      <c r="D53" s="253"/>
      <c r="E53" s="252"/>
      <c r="F53" s="385">
        <v>0</v>
      </c>
      <c r="G53" s="378">
        <f t="shared" si="0"/>
        <v>0</v>
      </c>
      <c r="H53" s="381">
        <v>0.28999999999999998</v>
      </c>
      <c r="I53" s="311">
        <f t="shared" si="2"/>
        <v>0</v>
      </c>
      <c r="J53" s="378">
        <f>I53*VLOOKUP($B$9,'Base Costs'!$A$32:$B$37,2,FALSE)</f>
        <v>0</v>
      </c>
      <c r="K53" s="379">
        <f t="shared" si="1"/>
        <v>0</v>
      </c>
    </row>
    <row r="54" spans="2:21" ht="15" customHeight="1" x14ac:dyDescent="0.2">
      <c r="B54" s="584"/>
      <c r="C54" s="251"/>
      <c r="D54" s="253"/>
      <c r="E54" s="252"/>
      <c r="F54" s="385">
        <v>0</v>
      </c>
      <c r="G54" s="378">
        <f t="shared" si="0"/>
        <v>0</v>
      </c>
      <c r="H54" s="381">
        <v>0.28999999999999998</v>
      </c>
      <c r="I54" s="311">
        <f t="shared" si="2"/>
        <v>0</v>
      </c>
      <c r="J54" s="378">
        <f>I54*VLOOKUP($B$9,'Base Costs'!$A$32:$B$37,2,FALSE)</f>
        <v>0</v>
      </c>
      <c r="K54" s="379">
        <f t="shared" si="1"/>
        <v>0</v>
      </c>
    </row>
    <row r="55" spans="2:21" ht="15" customHeight="1" x14ac:dyDescent="0.2">
      <c r="B55" s="115"/>
      <c r="C55" s="121"/>
      <c r="D55" s="113"/>
      <c r="F55" s="323"/>
      <c r="G55" s="323"/>
      <c r="H55" s="328"/>
      <c r="I55" s="323"/>
      <c r="J55" s="323"/>
      <c r="K55" s="329"/>
    </row>
    <row r="56" spans="2:21" s="97" customFormat="1" ht="15" customHeight="1" x14ac:dyDescent="0.15">
      <c r="B56" s="1094" t="s">
        <v>47</v>
      </c>
      <c r="C56" s="1094"/>
      <c r="D56" s="1094"/>
      <c r="E56" s="1094"/>
      <c r="F56" s="330"/>
      <c r="G56" s="154">
        <f>SUBTOTAL(9,G57:G66)</f>
        <v>0</v>
      </c>
      <c r="H56" s="15" t="str">
        <f>IF(G56=0,"-",K56/I56)</f>
        <v>-</v>
      </c>
      <c r="I56" s="154">
        <f>SUBTOTAL(9,I57:I66)</f>
        <v>0</v>
      </c>
      <c r="J56" s="465">
        <f>SUBTOTAL(9,J57:J66)</f>
        <v>0</v>
      </c>
      <c r="K56" s="154">
        <f>SUBTOTAL(9,K57:K66)</f>
        <v>0</v>
      </c>
      <c r="R56" s="100"/>
      <c r="U56" s="101"/>
    </row>
    <row r="57" spans="2:21" s="97" customFormat="1" ht="15" customHeight="1" x14ac:dyDescent="0.15">
      <c r="B57" s="588" t="s">
        <v>726</v>
      </c>
      <c r="C57" s="33"/>
      <c r="D57" s="309" t="s">
        <v>45</v>
      </c>
      <c r="E57" s="28"/>
      <c r="F57" s="385">
        <f>VLOOKUP(D57,'Base Costs'!E4:G221,2,FALSE)</f>
        <v>0</v>
      </c>
      <c r="G57" s="378">
        <f t="shared" ref="G57:G66" si="3">C57*F57</f>
        <v>0</v>
      </c>
      <c r="H57" s="381">
        <v>0.33</v>
      </c>
      <c r="I57" s="311">
        <f t="shared" ref="I57:I66" si="4">G57/(1-H57)*(1+$C$9)</f>
        <v>0</v>
      </c>
      <c r="J57" s="378">
        <f>I57*VLOOKUP($B$9,'Base Costs'!$A$32:$B$37,2,FALSE)</f>
        <v>0</v>
      </c>
      <c r="K57" s="379">
        <f>I57-G57</f>
        <v>0</v>
      </c>
      <c r="R57" s="100"/>
      <c r="U57" s="101"/>
    </row>
    <row r="58" spans="2:21" s="97" customFormat="1" ht="15" customHeight="1" x14ac:dyDescent="0.15">
      <c r="B58" s="583" t="s">
        <v>36</v>
      </c>
      <c r="C58" s="33"/>
      <c r="D58" s="309" t="s">
        <v>520</v>
      </c>
      <c r="E58" s="28"/>
      <c r="F58" s="385">
        <f>VLOOKUP(D58,'Base Costs'!A4:B28,2,FALSE)</f>
        <v>275.60000000000002</v>
      </c>
      <c r="G58" s="378">
        <f t="shared" si="3"/>
        <v>0</v>
      </c>
      <c r="H58" s="386">
        <v>0.33</v>
      </c>
      <c r="I58" s="311">
        <f t="shared" si="4"/>
        <v>0</v>
      </c>
      <c r="J58" s="378">
        <f>I58*VLOOKUP($B$9,'Base Costs'!$A$32:$B$37,2,FALSE)</f>
        <v>0</v>
      </c>
      <c r="K58" s="379">
        <f>I58-G58</f>
        <v>0</v>
      </c>
      <c r="R58" s="100"/>
      <c r="U58" s="101"/>
    </row>
    <row r="59" spans="2:21" s="97" customFormat="1" ht="15" customHeight="1" x14ac:dyDescent="0.15">
      <c r="B59" s="583" t="s">
        <v>16</v>
      </c>
      <c r="C59" s="33"/>
      <c r="D59" s="28" t="s">
        <v>137</v>
      </c>
      <c r="E59" s="28"/>
      <c r="F59" s="385">
        <f>375*1.03</f>
        <v>386.25</v>
      </c>
      <c r="G59" s="378">
        <f t="shared" si="3"/>
        <v>0</v>
      </c>
      <c r="H59" s="386">
        <v>0.33</v>
      </c>
      <c r="I59" s="311">
        <f t="shared" si="4"/>
        <v>0</v>
      </c>
      <c r="J59" s="378">
        <f>I59*VLOOKUP($B$9,'Base Costs'!$A$32:$B$37,2,FALSE)</f>
        <v>0</v>
      </c>
      <c r="K59" s="379">
        <f>I59-G59</f>
        <v>0</v>
      </c>
      <c r="R59" s="100"/>
      <c r="U59" s="101"/>
    </row>
    <row r="60" spans="2:21" s="97" customFormat="1" ht="15" customHeight="1" x14ac:dyDescent="0.15">
      <c r="B60" s="583" t="s">
        <v>13</v>
      </c>
      <c r="C60" s="33"/>
      <c r="D60" s="28"/>
      <c r="E60" s="28"/>
      <c r="F60" s="385">
        <v>0</v>
      </c>
      <c r="G60" s="378">
        <f t="shared" si="3"/>
        <v>0</v>
      </c>
      <c r="H60" s="386">
        <v>0.33</v>
      </c>
      <c r="I60" s="311">
        <f t="shared" si="4"/>
        <v>0</v>
      </c>
      <c r="J60" s="378">
        <f>I60*VLOOKUP($B$9,'Base Costs'!$A$32:$B$37,2,FALSE)</f>
        <v>0</v>
      </c>
      <c r="K60" s="379">
        <f>I60-G60</f>
        <v>0</v>
      </c>
      <c r="R60" s="100"/>
      <c r="U60" s="101"/>
    </row>
    <row r="61" spans="2:21" s="97" customFormat="1" ht="15" customHeight="1" x14ac:dyDescent="0.15">
      <c r="B61" s="583" t="s">
        <v>135</v>
      </c>
      <c r="C61" s="33"/>
      <c r="D61" s="28" t="s">
        <v>138</v>
      </c>
      <c r="E61" s="28"/>
      <c r="F61" s="385">
        <v>610</v>
      </c>
      <c r="G61" s="378">
        <f t="shared" si="3"/>
        <v>0</v>
      </c>
      <c r="H61" s="386">
        <v>0.4</v>
      </c>
      <c r="I61" s="311">
        <f t="shared" si="4"/>
        <v>0</v>
      </c>
      <c r="J61" s="378">
        <f>I61*VLOOKUP($B$9,'Base Costs'!$A$32:$B$37,2,FALSE)</f>
        <v>0</v>
      </c>
      <c r="K61" s="379">
        <f t="shared" ref="K61:K66" si="5">I61-G61</f>
        <v>0</v>
      </c>
      <c r="R61" s="100"/>
      <c r="U61" s="101"/>
    </row>
    <row r="62" spans="2:21" s="97" customFormat="1" ht="15" customHeight="1" x14ac:dyDescent="0.15">
      <c r="B62" s="583" t="s">
        <v>136</v>
      </c>
      <c r="C62" s="33"/>
      <c r="D62" s="28" t="s">
        <v>138</v>
      </c>
      <c r="E62" s="28"/>
      <c r="F62" s="385">
        <v>1220</v>
      </c>
      <c r="G62" s="378">
        <f t="shared" si="3"/>
        <v>0</v>
      </c>
      <c r="H62" s="386">
        <v>0.4</v>
      </c>
      <c r="I62" s="311">
        <f t="shared" si="4"/>
        <v>0</v>
      </c>
      <c r="J62" s="378">
        <f>I62*VLOOKUP($B$9,'Base Costs'!$A$32:$B$37,2,FALSE)</f>
        <v>0</v>
      </c>
      <c r="K62" s="379">
        <f t="shared" si="5"/>
        <v>0</v>
      </c>
      <c r="R62" s="100"/>
      <c r="U62" s="101"/>
    </row>
    <row r="63" spans="2:21" s="97" customFormat="1" ht="15" customHeight="1" x14ac:dyDescent="0.15">
      <c r="B63" s="583" t="s">
        <v>134</v>
      </c>
      <c r="C63" s="33"/>
      <c r="D63" s="28" t="s">
        <v>139</v>
      </c>
      <c r="E63" s="28"/>
      <c r="F63" s="385">
        <v>0</v>
      </c>
      <c r="G63" s="378">
        <f t="shared" si="3"/>
        <v>0</v>
      </c>
      <c r="H63" s="386">
        <v>0.33</v>
      </c>
      <c r="I63" s="311">
        <f t="shared" si="4"/>
        <v>0</v>
      </c>
      <c r="J63" s="378">
        <f>I63*VLOOKUP($B$9,'Base Costs'!$A$32:$B$37,2,FALSE)</f>
        <v>0</v>
      </c>
      <c r="K63" s="379">
        <f t="shared" si="5"/>
        <v>0</v>
      </c>
      <c r="R63" s="100"/>
      <c r="U63" s="101"/>
    </row>
    <row r="64" spans="2:21" s="97" customFormat="1" ht="15" customHeight="1" x14ac:dyDescent="0.15">
      <c r="B64" s="583" t="s">
        <v>12</v>
      </c>
      <c r="C64" s="33"/>
      <c r="D64" s="28" t="s">
        <v>139</v>
      </c>
      <c r="E64" s="28"/>
      <c r="F64" s="385">
        <v>0</v>
      </c>
      <c r="G64" s="378">
        <f t="shared" si="3"/>
        <v>0</v>
      </c>
      <c r="H64" s="386">
        <v>0.33</v>
      </c>
      <c r="I64" s="311">
        <f t="shared" si="4"/>
        <v>0</v>
      </c>
      <c r="J64" s="378">
        <f>I64*VLOOKUP($B$9,'Base Costs'!$A$32:$B$37,2,FALSE)</f>
        <v>0</v>
      </c>
      <c r="K64" s="379">
        <f t="shared" si="5"/>
        <v>0</v>
      </c>
      <c r="R64" s="100"/>
      <c r="U64" s="101"/>
    </row>
    <row r="65" spans="2:21" s="97" customFormat="1" ht="15" customHeight="1" x14ac:dyDescent="0.15">
      <c r="B65" s="583" t="s">
        <v>66</v>
      </c>
      <c r="C65" s="33"/>
      <c r="D65" s="28"/>
      <c r="E65" s="28"/>
      <c r="F65" s="385">
        <v>0</v>
      </c>
      <c r="G65" s="378">
        <f t="shared" si="3"/>
        <v>0</v>
      </c>
      <c r="H65" s="386">
        <v>0.33</v>
      </c>
      <c r="I65" s="311">
        <f t="shared" si="4"/>
        <v>0</v>
      </c>
      <c r="J65" s="378">
        <f>I65*VLOOKUP($B$9,'Base Costs'!$A$32:$B$37,2,FALSE)</f>
        <v>0</v>
      </c>
      <c r="K65" s="379">
        <f t="shared" si="5"/>
        <v>0</v>
      </c>
      <c r="R65" s="100"/>
      <c r="U65" s="101"/>
    </row>
    <row r="66" spans="2:21" s="97" customFormat="1" ht="15" customHeight="1" x14ac:dyDescent="0.15">
      <c r="B66" s="583" t="s">
        <v>32</v>
      </c>
      <c r="C66" s="33"/>
      <c r="D66" s="28" t="s">
        <v>716</v>
      </c>
      <c r="E66" s="28"/>
      <c r="F66" s="385">
        <v>604</v>
      </c>
      <c r="G66" s="378">
        <f t="shared" si="3"/>
        <v>0</v>
      </c>
      <c r="H66" s="386">
        <v>0.33</v>
      </c>
      <c r="I66" s="311">
        <f t="shared" si="4"/>
        <v>0</v>
      </c>
      <c r="J66" s="378">
        <f>I66*VLOOKUP($B$9,'Base Costs'!$A$32:$B$37,2,FALSE)</f>
        <v>0</v>
      </c>
      <c r="K66" s="379">
        <f t="shared" si="5"/>
        <v>0</v>
      </c>
      <c r="R66" s="100"/>
      <c r="U66" s="101"/>
    </row>
    <row r="67" spans="2:21" ht="15" customHeight="1" x14ac:dyDescent="0.2">
      <c r="D67" s="120"/>
    </row>
    <row r="68" spans="2:21" ht="15" customHeight="1" x14ac:dyDescent="0.2">
      <c r="B68" s="197" t="s">
        <v>121</v>
      </c>
      <c r="C68" s="198"/>
      <c r="D68" s="199"/>
      <c r="E68" s="199"/>
      <c r="F68" s="198"/>
      <c r="G68" s="200"/>
      <c r="H68" s="198"/>
      <c r="I68" s="198"/>
      <c r="J68" s="198"/>
      <c r="K68" s="198"/>
    </row>
    <row r="69" spans="2:21" ht="15" customHeight="1" x14ac:dyDescent="0.2">
      <c r="B69" s="497"/>
      <c r="C69" s="498"/>
      <c r="D69" s="202"/>
      <c r="E69" s="204"/>
      <c r="F69" s="209"/>
      <c r="G69" s="209"/>
      <c r="H69" s="203"/>
      <c r="I69" s="203"/>
      <c r="J69" s="203"/>
      <c r="K69" s="205"/>
    </row>
    <row r="70" spans="2:21" ht="15" customHeight="1" x14ac:dyDescent="0.2">
      <c r="B70" s="497"/>
      <c r="C70" s="498"/>
      <c r="D70" s="202"/>
      <c r="E70" s="204"/>
      <c r="F70" s="209"/>
      <c r="G70" s="209"/>
      <c r="H70" s="203"/>
      <c r="I70" s="203"/>
      <c r="J70" s="203"/>
      <c r="K70" s="205"/>
    </row>
    <row r="71" spans="2:21" ht="15" customHeight="1" x14ac:dyDescent="0.2">
      <c r="B71" s="497"/>
      <c r="C71" s="498"/>
      <c r="D71" s="202"/>
      <c r="E71" s="204"/>
      <c r="F71" s="209"/>
      <c r="G71" s="209"/>
      <c r="H71" s="203"/>
      <c r="I71" s="203"/>
      <c r="J71" s="203"/>
      <c r="K71" s="209"/>
    </row>
    <row r="72" spans="2:21" ht="15" customHeight="1" x14ac:dyDescent="0.2">
      <c r="B72" s="497"/>
      <c r="C72" s="498"/>
      <c r="D72" s="202"/>
      <c r="E72" s="204"/>
      <c r="F72" s="209"/>
      <c r="G72" s="209"/>
      <c r="H72" s="206"/>
      <c r="I72" s="203"/>
      <c r="J72" s="203"/>
      <c r="K72" s="209"/>
    </row>
    <row r="73" spans="2:21" ht="15" customHeight="1" x14ac:dyDescent="0.2">
      <c r="B73" s="497"/>
      <c r="C73" s="498"/>
      <c r="D73" s="202"/>
      <c r="E73" s="202"/>
      <c r="F73" s="209"/>
      <c r="G73" s="207"/>
      <c r="H73" s="209"/>
      <c r="I73" s="203"/>
      <c r="J73" s="203"/>
      <c r="K73" s="205"/>
    </row>
    <row r="74" spans="2:21" ht="15" customHeight="1" x14ac:dyDescent="0.2">
      <c r="B74" s="202"/>
      <c r="C74" s="202"/>
      <c r="D74" s="202"/>
      <c r="E74" s="202"/>
      <c r="F74" s="209"/>
      <c r="G74" s="207"/>
      <c r="H74" s="209"/>
      <c r="I74" s="203"/>
      <c r="J74" s="203"/>
      <c r="K74" s="205"/>
    </row>
    <row r="75" spans="2:21" ht="15" customHeight="1" x14ac:dyDescent="0.2">
      <c r="D75" s="120"/>
    </row>
    <row r="76" spans="2:21" ht="15" customHeight="1" x14ac:dyDescent="0.2">
      <c r="D76" s="120"/>
    </row>
    <row r="77" spans="2:21" ht="15" customHeight="1" x14ac:dyDescent="0.2">
      <c r="D77" s="120"/>
    </row>
    <row r="78" spans="2:21" ht="15" customHeight="1" x14ac:dyDescent="0.2">
      <c r="D78" s="120"/>
    </row>
    <row r="79" spans="2:21" ht="15" customHeight="1" x14ac:dyDescent="0.2">
      <c r="D79" s="120"/>
    </row>
    <row r="80" spans="2:21"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0">
    <mergeCell ref="M7:O7"/>
    <mergeCell ref="D47:E47"/>
    <mergeCell ref="B56:E56"/>
    <mergeCell ref="C1:J1"/>
    <mergeCell ref="C3:D3"/>
    <mergeCell ref="F3:G3"/>
    <mergeCell ref="C5:D5"/>
    <mergeCell ref="F5:G5"/>
    <mergeCell ref="C7:D7"/>
    <mergeCell ref="F7:G7"/>
  </mergeCells>
  <conditionalFormatting sqref="B9">
    <cfRule type="expression" dxfId="1910" priority="57">
      <formula>B9="CURRENCY"</formula>
    </cfRule>
    <cfRule type="containsText" dxfId="1909" priority="56" operator="containsText" text="SELECT">
      <formula>NOT(ISERROR(SEARCH("SELECT",B9)))</formula>
    </cfRule>
  </conditionalFormatting>
  <conditionalFormatting sqref="B13:B24">
    <cfRule type="expression" dxfId="1908" priority="7">
      <formula>$C13&gt;0</formula>
    </cfRule>
  </conditionalFormatting>
  <conditionalFormatting sqref="B25:B39">
    <cfRule type="expression" dxfId="1907" priority="6">
      <formula>$C25&gt;0</formula>
    </cfRule>
  </conditionalFormatting>
  <conditionalFormatting sqref="B40:B42">
    <cfRule type="expression" dxfId="1906" priority="5">
      <formula>$C40&gt;0</formula>
    </cfRule>
  </conditionalFormatting>
  <conditionalFormatting sqref="B43:B50">
    <cfRule type="expression" dxfId="1905" priority="1">
      <formula>$C43&gt;0</formula>
    </cfRule>
  </conditionalFormatting>
  <conditionalFormatting sqref="B51:B54">
    <cfRule type="expression" dxfId="1904" priority="4">
      <formula>$C51&gt;0</formula>
    </cfRule>
  </conditionalFormatting>
  <conditionalFormatting sqref="B57:B66">
    <cfRule type="expression" dxfId="1903" priority="2">
      <formula>$C57&gt;0</formula>
    </cfRule>
  </conditionalFormatting>
  <conditionalFormatting sqref="C13:C54">
    <cfRule type="cellIs" dxfId="1902" priority="21" operator="lessThan">
      <formula>1</formula>
    </cfRule>
  </conditionalFormatting>
  <conditionalFormatting sqref="C57:C66">
    <cfRule type="cellIs" dxfId="1901" priority="59" operator="equal">
      <formula>0</formula>
    </cfRule>
  </conditionalFormatting>
  <conditionalFormatting sqref="C9:D9">
    <cfRule type="cellIs" dxfId="1900" priority="51" operator="lessThan">
      <formula>0</formula>
    </cfRule>
    <cfRule type="cellIs" dxfId="1899" priority="52" operator="greaterThan">
      <formula>0</formula>
    </cfRule>
  </conditionalFormatting>
  <conditionalFormatting sqref="F13:F54">
    <cfRule type="expression" dxfId="1898" priority="20">
      <formula>C13&gt;0</formula>
    </cfRule>
  </conditionalFormatting>
  <conditionalFormatting sqref="F57:F66">
    <cfRule type="expression" dxfId="1897" priority="50">
      <formula>C57&gt;0</formula>
    </cfRule>
  </conditionalFormatting>
  <conditionalFormatting sqref="F58:F66">
    <cfRule type="expression" dxfId="1896" priority="58">
      <formula>C58&lt;1</formula>
    </cfRule>
  </conditionalFormatting>
  <conditionalFormatting sqref="G13:G54">
    <cfRule type="cellIs" dxfId="1895" priority="19" operator="greaterThan">
      <formula>0</formula>
    </cfRule>
  </conditionalFormatting>
  <conditionalFormatting sqref="G57:G66">
    <cfRule type="cellIs" dxfId="1894" priority="48" operator="greaterThan">
      <formula>0</formula>
    </cfRule>
  </conditionalFormatting>
  <conditionalFormatting sqref="H13:H54">
    <cfRule type="expression" dxfId="1893" priority="26">
      <formula>$C$9&gt;0</formula>
    </cfRule>
    <cfRule type="expression" dxfId="1892" priority="27">
      <formula>$C$9&lt;0</formula>
    </cfRule>
  </conditionalFormatting>
  <conditionalFormatting sqref="H57:H66">
    <cfRule type="expression" dxfId="1891" priority="67">
      <formula>$C$9&lt;0</formula>
    </cfRule>
    <cfRule type="expression" dxfId="1890" priority="66">
      <formula>$C$9&gt;0</formula>
    </cfRule>
  </conditionalFormatting>
  <conditionalFormatting sqref="J2:J6 J75:J1048576">
    <cfRule type="expression" dxfId="1889" priority="61">
      <formula>$B$9="EURO"</formula>
    </cfRule>
  </conditionalFormatting>
  <conditionalFormatting sqref="J8:J67">
    <cfRule type="expression" dxfId="1888" priority="22">
      <formula>$B$9="EURO"</formula>
    </cfRule>
  </conditionalFormatting>
  <conditionalFormatting sqref="J9 J56:J66">
    <cfRule type="expression" dxfId="1887" priority="63">
      <formula>$B$9="USD"</formula>
    </cfRule>
    <cfRule type="expression" dxfId="1886" priority="64">
      <formula>$B$9="PLN"</formula>
    </cfRule>
    <cfRule type="expression" dxfId="1885" priority="65">
      <formula>$B$9="CZK"</formula>
    </cfRule>
  </conditionalFormatting>
  <conditionalFormatting sqref="J12:J54">
    <cfRule type="expression" dxfId="1884" priority="25">
      <formula>$B$9="CZK"</formula>
    </cfRule>
    <cfRule type="expression" dxfId="1883" priority="24">
      <formula>$B$9="PLN"</formula>
    </cfRule>
    <cfRule type="expression" dxfId="1882" priority="23">
      <formula>$B$9="USD"</formula>
    </cfRule>
  </conditionalFormatting>
  <conditionalFormatting sqref="J68:J74">
    <cfRule type="expression" dxfId="1881" priority="55">
      <formula>$F$10="EURO"</formula>
    </cfRule>
  </conditionalFormatting>
  <conditionalFormatting sqref="J13:K54">
    <cfRule type="cellIs" dxfId="1880" priority="18" operator="greaterThan">
      <formula>0</formula>
    </cfRule>
  </conditionalFormatting>
  <conditionalFormatting sqref="J57:K66">
    <cfRule type="cellIs" dxfId="1879" priority="47" operator="greaterThan">
      <formula>0</formula>
    </cfRule>
  </conditionalFormatting>
  <dataValidations count="1">
    <dataValidation type="list" allowBlank="1" showInputMessage="1" showErrorMessage="1" sqref="D55" xr:uid="{00000000-0002-0000-0500-000000000000}">
      <formula1>$B$3:$B$15</formula1>
    </dataValidation>
  </dataValidations>
  <printOptions horizontalCentered="1"/>
  <pageMargins left="0.23622047244094491" right="0.35433070866141736" top="0.39370078740157483" bottom="0.39370078740157483" header="0.31496062992125984" footer="0.11811023622047245"/>
  <pageSetup paperSize="8" scale="90" orientation="portrait" r:id="rId1"/>
  <headerFooter alignWithMargins="0">
    <oddFooter>&amp;L&amp;Z&amp;F</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'Base Costs'!$A$32:$A$37</xm:f>
          </x14:formula1>
          <xm:sqref>B9</xm:sqref>
        </x14:dataValidation>
        <x14:dataValidation type="list" allowBlank="1" showInputMessage="1" showErrorMessage="1" xr:uid="{00000000-0002-0000-0500-000002000000}">
          <x14:formula1>
            <xm:f>'Base Costs'!$E$4:$E$213</xm:f>
          </x14:formula1>
          <xm:sqref>D57</xm:sqref>
        </x14:dataValidation>
        <x14:dataValidation type="list" allowBlank="1" showInputMessage="1" showErrorMessage="1" xr:uid="{00000000-0002-0000-0500-000003000000}">
          <x14:formula1>
            <xm:f>'Base Costs'!$A$4:$A$16</xm:f>
          </x14:formula1>
          <xm:sqref>D58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8" tint="0.79998168889431442"/>
    <pageSetUpPr fitToPage="1"/>
  </sheetPr>
  <dimension ref="B1:AF82"/>
  <sheetViews>
    <sheetView zoomScale="80" zoomScaleNormal="80" workbookViewId="0">
      <selection activeCell="C5" sqref="C5:D5"/>
    </sheetView>
  </sheetViews>
  <sheetFormatPr baseColWidth="10" defaultColWidth="51.83203125" defaultRowHeight="15" customHeight="1" x14ac:dyDescent="0.2"/>
  <cols>
    <col min="1" max="1" width="2" style="118" customWidth="1"/>
    <col min="2" max="2" width="32.6640625" style="118" bestFit="1" customWidth="1"/>
    <col min="3" max="3" width="16.33203125" style="119" customWidth="1"/>
    <col min="4" max="4" width="32.33203125" style="118" customWidth="1"/>
    <col min="5" max="5" width="14.5" style="118" bestFit="1" customWidth="1"/>
    <col min="6" max="6" width="12.1640625" style="331" customWidth="1"/>
    <col min="7" max="7" width="13.5" style="331" customWidth="1"/>
    <col min="8" max="8" width="10.33203125" style="119" customWidth="1"/>
    <col min="9" max="9" width="11.5" style="119" hidden="1" customWidth="1"/>
    <col min="10" max="11" width="13.1640625" style="119" customWidth="1"/>
    <col min="12" max="12" width="4.5" style="118" customWidth="1"/>
    <col min="13" max="13" width="15.5" style="322" customWidth="1"/>
    <col min="14" max="14" width="14.6640625" style="322" customWidth="1"/>
    <col min="15" max="15" width="12.33203125" style="322" customWidth="1"/>
    <col min="16" max="16" width="14.6640625" style="322" customWidth="1"/>
    <col min="17" max="17" width="3.6640625" style="120" customWidth="1"/>
    <col min="18" max="18" width="18.5" style="118" customWidth="1"/>
    <col min="19" max="19" width="23" style="118" customWidth="1"/>
    <col min="20" max="20" width="22.5" style="120" customWidth="1"/>
    <col min="21" max="22" width="51.83203125" style="118"/>
    <col min="23" max="23" width="51.83203125" style="120"/>
    <col min="24" max="31" width="51.83203125" style="118"/>
    <col min="32" max="32" width="51.83203125" style="120"/>
    <col min="33" max="16384" width="51.83203125" style="118"/>
  </cols>
  <sheetData>
    <row r="1" spans="2:32" s="123" customFormat="1" ht="15" customHeight="1" thickBot="1" x14ac:dyDescent="0.2">
      <c r="B1" s="156" t="s">
        <v>1464</v>
      </c>
      <c r="C1" s="1095" t="s">
        <v>823</v>
      </c>
      <c r="D1" s="1096"/>
      <c r="E1" s="1096"/>
      <c r="F1" s="1096"/>
      <c r="G1" s="1096"/>
      <c r="H1" s="1096"/>
      <c r="I1" s="1096"/>
      <c r="J1" s="1097"/>
      <c r="K1" s="981" t="s">
        <v>1478</v>
      </c>
      <c r="M1" s="493"/>
      <c r="N1" s="493"/>
      <c r="O1" s="494"/>
      <c r="P1" s="494"/>
      <c r="V1" s="124"/>
      <c r="Y1" s="125"/>
    </row>
    <row r="2" spans="2:32" s="97" customFormat="1" ht="15" customHeight="1" x14ac:dyDescent="0.15">
      <c r="B2" s="102"/>
      <c r="C2" s="103"/>
      <c r="E2" s="66"/>
      <c r="F2" s="324"/>
      <c r="G2" s="325"/>
      <c r="H2" s="326"/>
      <c r="I2" s="320"/>
      <c r="J2" s="320"/>
      <c r="K2" s="148"/>
      <c r="M2" s="284"/>
      <c r="N2" s="284"/>
      <c r="O2" s="495"/>
      <c r="P2" s="495"/>
      <c r="T2" s="106"/>
      <c r="V2" s="100"/>
      <c r="Y2" s="101"/>
    </row>
    <row r="3" spans="2:32" s="97" customFormat="1" ht="15" customHeight="1" x14ac:dyDescent="0.15">
      <c r="B3" s="107" t="s">
        <v>730</v>
      </c>
      <c r="C3" s="1080" t="str">
        <f>IF(CANOPY!C3="","",CANOPY!C3)</f>
        <v/>
      </c>
      <c r="D3" s="1080"/>
      <c r="E3" s="108" t="s">
        <v>75</v>
      </c>
      <c r="F3" s="1081" t="str">
        <f>IF(CANOPY!G3="","",CANOPY!G3)</f>
        <v/>
      </c>
      <c r="G3" s="1081"/>
      <c r="H3" s="326"/>
      <c r="I3" s="320"/>
      <c r="J3" s="320"/>
      <c r="K3" s="148"/>
      <c r="M3" s="794"/>
      <c r="N3" s="284"/>
      <c r="O3" s="495"/>
      <c r="P3" s="495"/>
      <c r="V3" s="100"/>
      <c r="Y3" s="101"/>
    </row>
    <row r="4" spans="2:32" s="97" customFormat="1" ht="15" customHeight="1" x14ac:dyDescent="0.15">
      <c r="B4" s="102"/>
      <c r="C4" s="102"/>
      <c r="E4" s="109"/>
      <c r="F4" s="332"/>
      <c r="G4" s="333"/>
      <c r="H4" s="326"/>
      <c r="I4" s="320"/>
      <c r="J4" s="320"/>
      <c r="K4" s="148"/>
      <c r="M4" s="284"/>
      <c r="N4" s="284"/>
      <c r="O4" s="495"/>
      <c r="P4" s="495"/>
      <c r="V4" s="100"/>
      <c r="Y4" s="101"/>
    </row>
    <row r="5" spans="2:32" s="97" customFormat="1" ht="15" customHeight="1" x14ac:dyDescent="0.15">
      <c r="B5" s="107" t="s">
        <v>72</v>
      </c>
      <c r="C5" s="1080" t="str">
        <f>IF(CANOPY!C5="","",CANOPY!C5)</f>
        <v/>
      </c>
      <c r="D5" s="1080"/>
      <c r="E5" s="108" t="s">
        <v>74</v>
      </c>
      <c r="F5" s="1081" t="str">
        <f>IF(CANOPY!G5="","",CANOPY!G5)</f>
        <v/>
      </c>
      <c r="G5" s="1081"/>
      <c r="H5" s="326"/>
      <c r="I5" s="320"/>
      <c r="J5" s="320"/>
      <c r="K5" s="148"/>
      <c r="L5" s="110"/>
      <c r="M5" s="496"/>
      <c r="N5" s="284"/>
      <c r="O5" s="495"/>
      <c r="P5" s="495"/>
      <c r="V5" s="100"/>
      <c r="Y5" s="101"/>
    </row>
    <row r="6" spans="2:32" s="97" customFormat="1" ht="15" customHeight="1" x14ac:dyDescent="0.15">
      <c r="B6" s="107"/>
      <c r="C6" s="102"/>
      <c r="E6" s="108"/>
      <c r="F6" s="334"/>
      <c r="G6" s="335"/>
      <c r="H6" s="326"/>
      <c r="I6" s="320"/>
      <c r="J6" s="320"/>
      <c r="K6" s="148"/>
      <c r="L6" s="110"/>
      <c r="M6" s="496"/>
      <c r="N6" s="284"/>
      <c r="O6" s="495"/>
      <c r="P6" s="495"/>
      <c r="V6" s="111"/>
      <c r="Y6" s="101"/>
    </row>
    <row r="7" spans="2:32" s="97" customFormat="1" ht="15" customHeight="1" x14ac:dyDescent="0.15">
      <c r="B7" s="80" t="s">
        <v>729</v>
      </c>
      <c r="C7" s="1080" t="str">
        <f>IF(CANOPY!C7="","",CANOPY!C7)</f>
        <v/>
      </c>
      <c r="D7" s="1080"/>
      <c r="E7" s="108" t="s">
        <v>73</v>
      </c>
      <c r="F7" s="1083" t="str">
        <f>IF(CANOPY!G7="","",CANOPY!G7)</f>
        <v/>
      </c>
      <c r="G7" s="1083"/>
      <c r="H7" s="326"/>
      <c r="J7" s="321" t="s">
        <v>76</v>
      </c>
      <c r="K7" s="907" t="str">
        <f>IF(CANOPY!O7="","",CANOPY!O7)</f>
        <v/>
      </c>
      <c r="L7" s="110"/>
      <c r="M7" s="1091" t="s">
        <v>1373</v>
      </c>
      <c r="N7" s="1091"/>
      <c r="O7" s="1091"/>
      <c r="V7" s="111"/>
      <c r="Y7" s="101"/>
    </row>
    <row r="8" spans="2:32" s="116" customFormat="1" ht="15" customHeight="1" x14ac:dyDescent="0.2">
      <c r="B8" s="113"/>
      <c r="D8" s="102"/>
      <c r="E8" s="115"/>
      <c r="F8" s="327"/>
      <c r="G8" s="114"/>
      <c r="H8" s="322"/>
      <c r="I8" s="322"/>
      <c r="J8" s="322"/>
      <c r="K8" s="322"/>
      <c r="M8" s="322"/>
      <c r="N8" s="322"/>
      <c r="O8" s="322"/>
      <c r="P8" s="322"/>
      <c r="Q8" s="117"/>
      <c r="T8" s="117"/>
      <c r="W8" s="117"/>
      <c r="AF8" s="117"/>
    </row>
    <row r="9" spans="2:32" ht="15" customHeight="1" thickBot="1" x14ac:dyDescent="0.25">
      <c r="B9" s="38" t="s">
        <v>348</v>
      </c>
      <c r="C9" s="953">
        <v>0</v>
      </c>
      <c r="D9" s="377">
        <f>IF(C9=0,0,(SUBTOTAL(9,I12:I66)/(1-C9))-I9)</f>
        <v>0</v>
      </c>
      <c r="G9" s="25">
        <f>SUBTOTAL(9,G13:G66)</f>
        <v>0</v>
      </c>
      <c r="H9" s="973" t="str">
        <f>IF(K9=0,"-",K9/I9)</f>
        <v>-</v>
      </c>
      <c r="I9" s="25">
        <f>SUBTOTAL(9,I13:I67)</f>
        <v>0</v>
      </c>
      <c r="J9" s="465">
        <f>SUBTOTAL(9,J13:J67)</f>
        <v>0</v>
      </c>
      <c r="K9" s="25">
        <f>SUBTOTAL(9,K13:K67)</f>
        <v>0</v>
      </c>
    </row>
    <row r="10" spans="2:32" ht="15" customHeight="1" thickBot="1" x14ac:dyDescent="0.25">
      <c r="B10" s="2" t="s">
        <v>348</v>
      </c>
      <c r="C10" s="2" t="s">
        <v>537</v>
      </c>
      <c r="D10" s="2" t="s">
        <v>536</v>
      </c>
      <c r="E10" s="317"/>
      <c r="F10" s="2" t="s">
        <v>204</v>
      </c>
      <c r="G10" s="2" t="s">
        <v>34</v>
      </c>
      <c r="H10" s="3" t="s">
        <v>141</v>
      </c>
      <c r="I10" s="4" t="s">
        <v>205</v>
      </c>
      <c r="J10" s="4" t="s">
        <v>205</v>
      </c>
      <c r="K10" s="318" t="s">
        <v>206</v>
      </c>
      <c r="M10" s="556" t="s">
        <v>674</v>
      </c>
      <c r="N10" s="557" t="s">
        <v>675</v>
      </c>
      <c r="O10" s="561" t="s">
        <v>5</v>
      </c>
      <c r="P10" s="558" t="s">
        <v>11</v>
      </c>
      <c r="R10" s="1098"/>
      <c r="S10" s="1099"/>
      <c r="T10" s="1100"/>
    </row>
    <row r="11" spans="2:32" ht="15" customHeight="1" x14ac:dyDescent="0.2">
      <c r="B11" s="16"/>
      <c r="C11" s="17"/>
      <c r="D11" s="17"/>
      <c r="E11" s="18"/>
      <c r="F11" s="17"/>
      <c r="G11" s="17"/>
      <c r="H11" s="19"/>
      <c r="I11" s="20"/>
      <c r="J11" s="20"/>
      <c r="K11" s="21"/>
      <c r="M11" s="559" t="s">
        <v>14</v>
      </c>
      <c r="N11" s="560" t="s">
        <v>14</v>
      </c>
      <c r="O11" s="562" t="s">
        <v>14</v>
      </c>
      <c r="P11" s="499" t="s">
        <v>14</v>
      </c>
    </row>
    <row r="12" spans="2:32" ht="15" customHeight="1" x14ac:dyDescent="0.2">
      <c r="B12" s="24" t="s">
        <v>237</v>
      </c>
      <c r="C12" s="188" t="s">
        <v>2</v>
      </c>
      <c r="D12" s="188" t="s">
        <v>1</v>
      </c>
      <c r="E12" s="23"/>
      <c r="F12" s="22"/>
      <c r="G12" s="61">
        <f>SUBTOTAL(9,G13:G54)</f>
        <v>0</v>
      </c>
      <c r="H12" s="39" t="str">
        <f>IF(G13=0,"-",K12/I12)</f>
        <v>-</v>
      </c>
      <c r="I12" s="61">
        <f>SUBTOTAL(9,I13:I54)</f>
        <v>0</v>
      </c>
      <c r="J12" s="465">
        <f>SUBTOTAL(9,J13:J54)</f>
        <v>0</v>
      </c>
      <c r="K12" s="61">
        <f>SUBTOTAL(9,K13:K54)</f>
        <v>0</v>
      </c>
      <c r="M12" s="465">
        <f>SUM(M13:M54)</f>
        <v>0</v>
      </c>
      <c r="N12" s="465">
        <f>SUM(N13:N54)</f>
        <v>0</v>
      </c>
      <c r="O12" s="465">
        <f>SUM(O13:O54)</f>
        <v>0</v>
      </c>
      <c r="P12" s="465">
        <f>SUM(P13:P54)</f>
        <v>0</v>
      </c>
      <c r="R12" s="870"/>
      <c r="S12" s="870"/>
      <c r="T12" s="871"/>
    </row>
    <row r="13" spans="2:32" ht="15" customHeight="1" x14ac:dyDescent="0.2">
      <c r="B13" s="581" t="s">
        <v>700</v>
      </c>
      <c r="C13" s="251"/>
      <c r="D13" s="387" t="s">
        <v>78</v>
      </c>
      <c r="E13" s="252"/>
      <c r="F13" s="385">
        <f>VLOOKUP(D13,'Base Costs'!I4:J10,2,FALSE)</f>
        <v>0</v>
      </c>
      <c r="G13" s="378">
        <f t="shared" ref="G13:G54" si="0">C13*F13</f>
        <v>0</v>
      </c>
      <c r="H13" s="381">
        <v>0.28999999999999998</v>
      </c>
      <c r="I13" s="311">
        <f>G13/(1-H13)*(1+$C$9)</f>
        <v>0</v>
      </c>
      <c r="J13" s="378">
        <f>I13*VLOOKUP($B$9,'Base Costs'!$A$32:$B$37,2,FALSE)</f>
        <v>0</v>
      </c>
      <c r="K13" s="379">
        <f t="shared" ref="K13" si="1">I13-G13</f>
        <v>0</v>
      </c>
      <c r="M13" s="378">
        <f>J13</f>
        <v>0</v>
      </c>
      <c r="N13" s="378"/>
      <c r="O13" s="378"/>
      <c r="P13" s="378"/>
      <c r="R13" s="870"/>
      <c r="S13" s="870"/>
      <c r="T13" s="871"/>
    </row>
    <row r="14" spans="2:32" ht="15" customHeight="1" x14ac:dyDescent="0.2">
      <c r="B14" s="581" t="s">
        <v>5</v>
      </c>
      <c r="C14" s="251"/>
      <c r="D14" s="388" t="s">
        <v>5</v>
      </c>
      <c r="E14" s="252"/>
      <c r="F14" s="385">
        <f>VLOOKUP(D14,'Base Costs'!I19:J23,2,FALSE)</f>
        <v>0</v>
      </c>
      <c r="G14" s="378">
        <f t="shared" si="0"/>
        <v>0</v>
      </c>
      <c r="H14" s="381">
        <v>0.28999999999999998</v>
      </c>
      <c r="I14" s="311">
        <f t="shared" ref="I14:I54" si="2">G14/(1-H14)*(1+$C$9)</f>
        <v>0</v>
      </c>
      <c r="J14" s="378">
        <f>I14*VLOOKUP($B$9,'Base Costs'!$A$32:$B$37,2,FALSE)</f>
        <v>0</v>
      </c>
      <c r="K14" s="379">
        <f t="shared" ref="K14:K54" si="3">I14-G14</f>
        <v>0</v>
      </c>
      <c r="M14" s="378">
        <f>J14</f>
        <v>0</v>
      </c>
      <c r="N14" s="378"/>
      <c r="O14" s="378"/>
      <c r="P14" s="378"/>
      <c r="R14" s="870"/>
      <c r="S14" s="870"/>
      <c r="T14" s="871"/>
    </row>
    <row r="15" spans="2:32" ht="15" customHeight="1" x14ac:dyDescent="0.2">
      <c r="B15" s="581" t="s">
        <v>1053</v>
      </c>
      <c r="C15" s="251"/>
      <c r="D15" s="389" t="s">
        <v>79</v>
      </c>
      <c r="E15" s="252"/>
      <c r="F15" s="385">
        <f>VLOOKUP(D15,'Base Costs'!I12:J16,2,FALSE)</f>
        <v>0</v>
      </c>
      <c r="G15" s="378">
        <f t="shared" si="0"/>
        <v>0</v>
      </c>
      <c r="H15" s="381">
        <v>0.28999999999999998</v>
      </c>
      <c r="I15" s="311">
        <f t="shared" si="2"/>
        <v>0</v>
      </c>
      <c r="J15" s="378">
        <f>I15*VLOOKUP($B$9,'Base Costs'!$A$32:$B$37,2,FALSE)</f>
        <v>0</v>
      </c>
      <c r="K15" s="379">
        <f t="shared" si="3"/>
        <v>0</v>
      </c>
      <c r="M15" s="378">
        <f>J15</f>
        <v>0</v>
      </c>
      <c r="N15" s="378"/>
      <c r="O15" s="378"/>
      <c r="P15" s="378"/>
      <c r="R15" s="870"/>
      <c r="S15" s="870"/>
      <c r="T15" s="871"/>
    </row>
    <row r="16" spans="2:32" ht="15" customHeight="1" x14ac:dyDescent="0.2">
      <c r="B16" s="581" t="s">
        <v>29</v>
      </c>
      <c r="C16" s="251"/>
      <c r="D16" s="253"/>
      <c r="E16" s="252"/>
      <c r="F16" s="385"/>
      <c r="G16" s="378">
        <f t="shared" si="0"/>
        <v>0</v>
      </c>
      <c r="H16" s="381">
        <v>0.28999999999999998</v>
      </c>
      <c r="I16" s="311">
        <f t="shared" si="2"/>
        <v>0</v>
      </c>
      <c r="J16" s="378">
        <f>I16*VLOOKUP($B$9,'Base Costs'!$A$32:$B$37,2,FALSE)</f>
        <v>0</v>
      </c>
      <c r="K16" s="379">
        <f t="shared" si="3"/>
        <v>0</v>
      </c>
      <c r="M16" s="378">
        <f t="shared" ref="M16:M24" si="4">J16</f>
        <v>0</v>
      </c>
      <c r="N16" s="378"/>
      <c r="O16" s="378"/>
      <c r="P16" s="378"/>
      <c r="R16" s="870"/>
      <c r="S16" s="870"/>
      <c r="T16" s="871"/>
    </row>
    <row r="17" spans="2:20" ht="15" customHeight="1" x14ac:dyDescent="0.2">
      <c r="B17" s="581" t="s">
        <v>207</v>
      </c>
      <c r="C17" s="251"/>
      <c r="D17" s="253"/>
      <c r="E17" s="252"/>
      <c r="F17" s="385"/>
      <c r="G17" s="378">
        <f t="shared" si="0"/>
        <v>0</v>
      </c>
      <c r="H17" s="381">
        <v>0.28999999999999998</v>
      </c>
      <c r="I17" s="311">
        <f t="shared" si="2"/>
        <v>0</v>
      </c>
      <c r="J17" s="378">
        <f>I17*VLOOKUP($B$9,'Base Costs'!$A$32:$B$37,2,FALSE)</f>
        <v>0</v>
      </c>
      <c r="K17" s="379">
        <f t="shared" si="3"/>
        <v>0</v>
      </c>
      <c r="M17" s="378">
        <f t="shared" si="4"/>
        <v>0</v>
      </c>
      <c r="N17" s="378"/>
      <c r="O17" s="378"/>
      <c r="P17" s="378"/>
      <c r="R17" s="870"/>
      <c r="S17" s="870"/>
      <c r="T17" s="871"/>
    </row>
    <row r="18" spans="2:20" ht="15" customHeight="1" x14ac:dyDescent="0.2">
      <c r="B18" s="581" t="s">
        <v>41</v>
      </c>
      <c r="C18" s="251"/>
      <c r="D18" s="253"/>
      <c r="E18" s="252"/>
      <c r="F18" s="385">
        <f>26*1.03</f>
        <v>26.78</v>
      </c>
      <c r="G18" s="378">
        <f t="shared" si="0"/>
        <v>0</v>
      </c>
      <c r="H18" s="381">
        <v>0.28999999999999998</v>
      </c>
      <c r="I18" s="311">
        <f t="shared" si="2"/>
        <v>0</v>
      </c>
      <c r="J18" s="378">
        <f>I18*VLOOKUP($B$9,'Base Costs'!$A$32:$B$37,2,FALSE)</f>
        <v>0</v>
      </c>
      <c r="K18" s="379">
        <f t="shared" si="3"/>
        <v>0</v>
      </c>
      <c r="M18" s="378">
        <f t="shared" si="4"/>
        <v>0</v>
      </c>
      <c r="N18" s="378"/>
      <c r="O18" s="378"/>
      <c r="P18" s="378"/>
      <c r="R18" s="870"/>
      <c r="S18" s="870"/>
      <c r="T18" s="871"/>
    </row>
    <row r="19" spans="2:20" ht="15" customHeight="1" x14ac:dyDescent="0.2">
      <c r="B19" s="581" t="s">
        <v>39</v>
      </c>
      <c r="C19" s="251"/>
      <c r="D19" s="253"/>
      <c r="E19" s="252"/>
      <c r="F19" s="385">
        <f>1300*1.03</f>
        <v>1339</v>
      </c>
      <c r="G19" s="378">
        <f t="shared" si="0"/>
        <v>0</v>
      </c>
      <c r="H19" s="381">
        <v>0.28999999999999998</v>
      </c>
      <c r="I19" s="311">
        <f t="shared" si="2"/>
        <v>0</v>
      </c>
      <c r="J19" s="378">
        <f>I19*VLOOKUP($B$9,'Base Costs'!$A$32:$B$37,2,FALSE)</f>
        <v>0</v>
      </c>
      <c r="K19" s="379">
        <f t="shared" si="3"/>
        <v>0</v>
      </c>
      <c r="M19" s="378">
        <f t="shared" si="4"/>
        <v>0</v>
      </c>
      <c r="N19" s="378"/>
      <c r="O19" s="378"/>
      <c r="P19" s="378"/>
      <c r="R19" s="870"/>
      <c r="S19" s="870"/>
      <c r="T19" s="871"/>
    </row>
    <row r="20" spans="2:20" ht="15" customHeight="1" x14ac:dyDescent="0.2">
      <c r="B20" s="581" t="s">
        <v>38</v>
      </c>
      <c r="C20" s="251"/>
      <c r="D20" s="253"/>
      <c r="E20" s="252"/>
      <c r="F20" s="385">
        <v>0</v>
      </c>
      <c r="G20" s="378">
        <f t="shared" si="0"/>
        <v>0</v>
      </c>
      <c r="H20" s="381">
        <v>0.28999999999999998</v>
      </c>
      <c r="I20" s="311">
        <f t="shared" si="2"/>
        <v>0</v>
      </c>
      <c r="J20" s="378">
        <f>I20*VLOOKUP($B$9,'Base Costs'!$A$32:$B$37,2,FALSE)</f>
        <v>0</v>
      </c>
      <c r="K20" s="379">
        <f t="shared" si="3"/>
        <v>0</v>
      </c>
      <c r="M20" s="378">
        <f t="shared" si="4"/>
        <v>0</v>
      </c>
      <c r="N20" s="378"/>
      <c r="O20" s="378"/>
      <c r="P20" s="378"/>
      <c r="R20" s="870"/>
      <c r="S20" s="870"/>
      <c r="T20" s="871"/>
    </row>
    <row r="21" spans="2:20" ht="15" customHeight="1" x14ac:dyDescent="0.2">
      <c r="B21" s="581"/>
      <c r="C21" s="251"/>
      <c r="D21" s="254"/>
      <c r="E21" s="252"/>
      <c r="F21" s="385">
        <v>0</v>
      </c>
      <c r="G21" s="378">
        <f t="shared" si="0"/>
        <v>0</v>
      </c>
      <c r="H21" s="381">
        <v>0.28999999999999998</v>
      </c>
      <c r="I21" s="311">
        <f t="shared" si="2"/>
        <v>0</v>
      </c>
      <c r="J21" s="378">
        <f>I21*VLOOKUP($B$9,'Base Costs'!$A$32:$B$37,2,FALSE)</f>
        <v>0</v>
      </c>
      <c r="K21" s="379">
        <f t="shared" si="3"/>
        <v>0</v>
      </c>
      <c r="M21" s="378">
        <f t="shared" si="4"/>
        <v>0</v>
      </c>
      <c r="N21" s="378"/>
      <c r="O21" s="378"/>
      <c r="P21" s="378"/>
      <c r="R21" s="870"/>
      <c r="S21" s="870"/>
      <c r="T21" s="871"/>
    </row>
    <row r="22" spans="2:20" ht="15" customHeight="1" x14ac:dyDescent="0.2">
      <c r="B22" s="581" t="s">
        <v>1052</v>
      </c>
      <c r="C22" s="251"/>
      <c r="D22" s="253"/>
      <c r="E22" s="252"/>
      <c r="F22" s="385">
        <v>17895</v>
      </c>
      <c r="G22" s="378">
        <f t="shared" si="0"/>
        <v>0</v>
      </c>
      <c r="H22" s="381">
        <v>0.28999999999999998</v>
      </c>
      <c r="I22" s="311">
        <f t="shared" si="2"/>
        <v>0</v>
      </c>
      <c r="J22" s="378">
        <f>I22*VLOOKUP($B$9,'Base Costs'!$A$32:$B$37,2,FALSE)</f>
        <v>0</v>
      </c>
      <c r="K22" s="379">
        <f t="shared" si="3"/>
        <v>0</v>
      </c>
      <c r="M22" s="378">
        <f t="shared" si="4"/>
        <v>0</v>
      </c>
      <c r="N22" s="378"/>
      <c r="O22" s="378"/>
      <c r="P22" s="378"/>
      <c r="R22" s="870"/>
      <c r="S22" s="870"/>
      <c r="T22" s="871"/>
    </row>
    <row r="23" spans="2:20" ht="15" customHeight="1" x14ac:dyDescent="0.2">
      <c r="B23" s="581" t="s">
        <v>209</v>
      </c>
      <c r="C23" s="251"/>
      <c r="D23" s="253"/>
      <c r="E23" s="252"/>
      <c r="F23" s="385">
        <v>0</v>
      </c>
      <c r="G23" s="378">
        <f t="shared" si="0"/>
        <v>0</v>
      </c>
      <c r="H23" s="381">
        <v>0.28999999999999998</v>
      </c>
      <c r="I23" s="311">
        <f t="shared" si="2"/>
        <v>0</v>
      </c>
      <c r="J23" s="378">
        <f>I23*VLOOKUP($B$9,'Base Costs'!$A$32:$B$37,2,FALSE)</f>
        <v>0</v>
      </c>
      <c r="K23" s="379">
        <f t="shared" si="3"/>
        <v>0</v>
      </c>
      <c r="M23" s="378">
        <f t="shared" si="4"/>
        <v>0</v>
      </c>
      <c r="N23" s="378"/>
      <c r="O23" s="378"/>
      <c r="P23" s="378"/>
      <c r="R23" s="870"/>
      <c r="S23" s="870"/>
      <c r="T23" s="871"/>
    </row>
    <row r="24" spans="2:20" ht="15" customHeight="1" x14ac:dyDescent="0.2">
      <c r="B24" s="581" t="s">
        <v>209</v>
      </c>
      <c r="C24" s="251"/>
      <c r="D24" s="253"/>
      <c r="E24" s="252"/>
      <c r="F24" s="385">
        <v>0</v>
      </c>
      <c r="G24" s="378">
        <f t="shared" si="0"/>
        <v>0</v>
      </c>
      <c r="H24" s="381">
        <v>0.28999999999999998</v>
      </c>
      <c r="I24" s="311">
        <f t="shared" si="2"/>
        <v>0</v>
      </c>
      <c r="J24" s="378">
        <f>I24*VLOOKUP($B$9,'Base Costs'!$A$32:$B$37,2,FALSE)</f>
        <v>0</v>
      </c>
      <c r="K24" s="379">
        <f t="shared" si="3"/>
        <v>0</v>
      </c>
      <c r="M24" s="378">
        <f t="shared" si="4"/>
        <v>0</v>
      </c>
      <c r="N24" s="378"/>
      <c r="O24" s="378"/>
      <c r="P24" s="378"/>
      <c r="R24" s="870"/>
      <c r="S24" s="870"/>
      <c r="T24" s="871"/>
    </row>
    <row r="25" spans="2:20" ht="15" customHeight="1" x14ac:dyDescent="0.2">
      <c r="B25" s="582" t="s">
        <v>208</v>
      </c>
      <c r="C25" s="251"/>
      <c r="D25" s="388" t="s">
        <v>85</v>
      </c>
      <c r="E25" s="252"/>
      <c r="F25" s="385">
        <f>VLOOKUP(D25,'Base Costs'!I25:J31,2,FALSE)</f>
        <v>0</v>
      </c>
      <c r="G25" s="378">
        <f t="shared" si="0"/>
        <v>0</v>
      </c>
      <c r="H25" s="381">
        <v>0.28999999999999998</v>
      </c>
      <c r="I25" s="311">
        <f t="shared" si="2"/>
        <v>0</v>
      </c>
      <c r="J25" s="378">
        <f>I25*VLOOKUP($B$9,'Base Costs'!$A$32:$B$37,2,FALSE)</f>
        <v>0</v>
      </c>
      <c r="K25" s="379">
        <f t="shared" si="3"/>
        <v>0</v>
      </c>
      <c r="M25" s="378"/>
      <c r="N25" s="378">
        <f>J25</f>
        <v>0</v>
      </c>
      <c r="O25" s="378"/>
      <c r="P25" s="378"/>
      <c r="R25" s="870"/>
      <c r="S25" s="870"/>
      <c r="T25" s="871"/>
    </row>
    <row r="26" spans="2:20" ht="15" customHeight="1" x14ac:dyDescent="0.2">
      <c r="B26" s="582" t="s">
        <v>5</v>
      </c>
      <c r="C26" s="251"/>
      <c r="D26" s="388" t="s">
        <v>5</v>
      </c>
      <c r="E26" s="252"/>
      <c r="F26" s="385">
        <f>VLOOKUP(D26,'Base Costs'!I19:J23,2,FALSE)</f>
        <v>0</v>
      </c>
      <c r="G26" s="378">
        <f t="shared" si="0"/>
        <v>0</v>
      </c>
      <c r="H26" s="381">
        <v>0.28999999999999998</v>
      </c>
      <c r="I26" s="311">
        <f t="shared" si="2"/>
        <v>0</v>
      </c>
      <c r="J26" s="378">
        <f>I26*VLOOKUP($B$9,'Base Costs'!$A$32:$B$37,2,FALSE)</f>
        <v>0</v>
      </c>
      <c r="K26" s="379">
        <f t="shared" si="3"/>
        <v>0</v>
      </c>
      <c r="M26" s="378"/>
      <c r="N26" s="378">
        <f t="shared" ref="N26:N39" si="5">J26</f>
        <v>0</v>
      </c>
      <c r="O26" s="378"/>
      <c r="P26" s="378"/>
      <c r="R26" s="870"/>
      <c r="S26" s="870"/>
      <c r="T26" s="871"/>
    </row>
    <row r="27" spans="2:20" ht="15" customHeight="1" x14ac:dyDescent="0.2">
      <c r="B27" s="582" t="s">
        <v>33</v>
      </c>
      <c r="C27" s="251"/>
      <c r="D27" s="388" t="s">
        <v>84</v>
      </c>
      <c r="E27" s="252"/>
      <c r="F27" s="385">
        <f>VLOOKUP(D27,'Base Costs'!I33:J37,2,FALSE)</f>
        <v>0</v>
      </c>
      <c r="G27" s="378">
        <f t="shared" si="0"/>
        <v>0</v>
      </c>
      <c r="H27" s="381">
        <v>0.28999999999999998</v>
      </c>
      <c r="I27" s="311">
        <f t="shared" si="2"/>
        <v>0</v>
      </c>
      <c r="J27" s="378">
        <f>I27*VLOOKUP($B$9,'Base Costs'!$A$32:$B$37,2,FALSE)</f>
        <v>0</v>
      </c>
      <c r="K27" s="379">
        <f t="shared" si="3"/>
        <v>0</v>
      </c>
      <c r="M27" s="378"/>
      <c r="N27" s="378">
        <f t="shared" si="5"/>
        <v>0</v>
      </c>
      <c r="O27" s="378"/>
      <c r="P27" s="378"/>
      <c r="R27" s="870"/>
      <c r="S27" s="870"/>
      <c r="T27" s="871"/>
    </row>
    <row r="28" spans="2:20" ht="15" customHeight="1" x14ac:dyDescent="0.2">
      <c r="B28" s="582" t="s">
        <v>37</v>
      </c>
      <c r="C28" s="251"/>
      <c r="D28" s="388" t="s">
        <v>707</v>
      </c>
      <c r="E28" s="252"/>
      <c r="F28" s="385">
        <f>VLOOKUP(D28,'Base Costs'!I39:J44,2,FALSE)</f>
        <v>0</v>
      </c>
      <c r="G28" s="378">
        <f t="shared" si="0"/>
        <v>0</v>
      </c>
      <c r="H28" s="381">
        <v>0.28999999999999998</v>
      </c>
      <c r="I28" s="311">
        <f t="shared" si="2"/>
        <v>0</v>
      </c>
      <c r="J28" s="378">
        <f>I28*VLOOKUP($B$9,'Base Costs'!$A$32:$B$37,2,FALSE)</f>
        <v>0</v>
      </c>
      <c r="K28" s="379">
        <f t="shared" si="3"/>
        <v>0</v>
      </c>
      <c r="M28" s="378"/>
      <c r="N28" s="378">
        <f t="shared" si="5"/>
        <v>0</v>
      </c>
      <c r="O28" s="378"/>
      <c r="P28" s="378"/>
      <c r="R28" s="870"/>
      <c r="S28" s="870"/>
      <c r="T28" s="871"/>
    </row>
    <row r="29" spans="2:20" ht="15" customHeight="1" x14ac:dyDescent="0.2">
      <c r="B29" s="582" t="s">
        <v>42</v>
      </c>
      <c r="C29" s="251"/>
      <c r="D29" s="253"/>
      <c r="E29" s="252"/>
      <c r="F29" s="385">
        <v>0</v>
      </c>
      <c r="G29" s="378">
        <f t="shared" si="0"/>
        <v>0</v>
      </c>
      <c r="H29" s="381">
        <v>0.28999999999999998</v>
      </c>
      <c r="I29" s="311">
        <f t="shared" si="2"/>
        <v>0</v>
      </c>
      <c r="J29" s="378">
        <f>I29*VLOOKUP($B$9,'Base Costs'!$A$32:$B$37,2,FALSE)</f>
        <v>0</v>
      </c>
      <c r="K29" s="379">
        <f>I29-G29</f>
        <v>0</v>
      </c>
      <c r="M29" s="378"/>
      <c r="N29" s="378">
        <f t="shared" si="5"/>
        <v>0</v>
      </c>
      <c r="O29" s="378"/>
      <c r="P29" s="378"/>
      <c r="R29" s="870"/>
      <c r="S29" s="870"/>
      <c r="T29" s="871"/>
    </row>
    <row r="30" spans="2:20" ht="15" customHeight="1" x14ac:dyDescent="0.2">
      <c r="B30" s="582" t="s">
        <v>68</v>
      </c>
      <c r="C30" s="251"/>
      <c r="D30" s="253"/>
      <c r="E30" s="252"/>
      <c r="F30" s="385"/>
      <c r="G30" s="378">
        <f t="shared" si="0"/>
        <v>0</v>
      </c>
      <c r="H30" s="381">
        <v>0.28999999999999998</v>
      </c>
      <c r="I30" s="311">
        <f t="shared" si="2"/>
        <v>0</v>
      </c>
      <c r="J30" s="378">
        <f>I30*VLOOKUP($B$9,'Base Costs'!$A$32:$B$37,2,FALSE)</f>
        <v>0</v>
      </c>
      <c r="K30" s="379">
        <f t="shared" si="3"/>
        <v>0</v>
      </c>
      <c r="M30" s="378"/>
      <c r="N30" s="378">
        <f t="shared" si="5"/>
        <v>0</v>
      </c>
      <c r="O30" s="378"/>
      <c r="P30" s="378"/>
      <c r="R30" s="870"/>
      <c r="S30" s="870"/>
      <c r="T30" s="871"/>
    </row>
    <row r="31" spans="2:20" ht="15" customHeight="1" x14ac:dyDescent="0.2">
      <c r="B31" s="582" t="s">
        <v>15</v>
      </c>
      <c r="C31" s="251"/>
      <c r="D31" s="253"/>
      <c r="E31" s="252"/>
      <c r="F31" s="385">
        <v>0</v>
      </c>
      <c r="G31" s="378">
        <f t="shared" si="0"/>
        <v>0</v>
      </c>
      <c r="H31" s="381">
        <v>0.28999999999999998</v>
      </c>
      <c r="I31" s="311">
        <f t="shared" si="2"/>
        <v>0</v>
      </c>
      <c r="J31" s="378">
        <f>I31*VLOOKUP($B$9,'Base Costs'!$A$32:$B$37,2,FALSE)</f>
        <v>0</v>
      </c>
      <c r="K31" s="379">
        <f t="shared" si="3"/>
        <v>0</v>
      </c>
      <c r="M31" s="378"/>
      <c r="N31" s="378">
        <f t="shared" si="5"/>
        <v>0</v>
      </c>
      <c r="O31" s="378"/>
      <c r="P31" s="378"/>
      <c r="R31" s="870"/>
      <c r="S31" s="870"/>
      <c r="T31" s="871"/>
    </row>
    <row r="32" spans="2:20" ht="15" customHeight="1" x14ac:dyDescent="0.2">
      <c r="B32" s="582" t="s">
        <v>69</v>
      </c>
      <c r="C32" s="251"/>
      <c r="D32" s="253"/>
      <c r="E32" s="252"/>
      <c r="F32" s="385">
        <v>87</v>
      </c>
      <c r="G32" s="378">
        <f t="shared" si="0"/>
        <v>0</v>
      </c>
      <c r="H32" s="381">
        <v>0.28999999999999998</v>
      </c>
      <c r="I32" s="311">
        <f t="shared" si="2"/>
        <v>0</v>
      </c>
      <c r="J32" s="378">
        <f>I32*VLOOKUP($B$9,'Base Costs'!$A$32:$B$37,2,FALSE)</f>
        <v>0</v>
      </c>
      <c r="K32" s="379">
        <f t="shared" si="3"/>
        <v>0</v>
      </c>
      <c r="M32" s="378"/>
      <c r="N32" s="378">
        <f t="shared" si="5"/>
        <v>0</v>
      </c>
      <c r="O32" s="378"/>
      <c r="P32" s="378"/>
      <c r="R32" s="870"/>
      <c r="S32" s="870"/>
      <c r="T32" s="871"/>
    </row>
    <row r="33" spans="2:20" ht="15" customHeight="1" x14ac:dyDescent="0.2">
      <c r="B33" s="582" t="s">
        <v>38</v>
      </c>
      <c r="C33" s="251"/>
      <c r="D33" s="253"/>
      <c r="E33" s="252"/>
      <c r="F33" s="385">
        <v>0</v>
      </c>
      <c r="G33" s="378">
        <f t="shared" si="0"/>
        <v>0</v>
      </c>
      <c r="H33" s="381">
        <v>0.28999999999999998</v>
      </c>
      <c r="I33" s="311">
        <f t="shared" si="2"/>
        <v>0</v>
      </c>
      <c r="J33" s="378">
        <f>I33*VLOOKUP($B$9,'Base Costs'!$A$32:$B$37,2,FALSE)</f>
        <v>0</v>
      </c>
      <c r="K33" s="379">
        <f t="shared" si="3"/>
        <v>0</v>
      </c>
      <c r="M33" s="378"/>
      <c r="N33" s="378">
        <f t="shared" si="5"/>
        <v>0</v>
      </c>
      <c r="O33" s="378"/>
      <c r="P33" s="378"/>
      <c r="R33" s="870"/>
      <c r="S33" s="870"/>
      <c r="T33" s="871"/>
    </row>
    <row r="34" spans="2:20" ht="15" customHeight="1" x14ac:dyDescent="0.2">
      <c r="B34" s="582" t="s">
        <v>40</v>
      </c>
      <c r="C34" s="251"/>
      <c r="D34" s="253"/>
      <c r="E34" s="252"/>
      <c r="F34" s="385">
        <v>88.28</v>
      </c>
      <c r="G34" s="378">
        <f t="shared" si="0"/>
        <v>0</v>
      </c>
      <c r="H34" s="381">
        <v>0.28999999999999998</v>
      </c>
      <c r="I34" s="311">
        <f t="shared" si="2"/>
        <v>0</v>
      </c>
      <c r="J34" s="378">
        <f>I34*VLOOKUP($B$9,'Base Costs'!$A$32:$B$37,2,FALSE)</f>
        <v>0</v>
      </c>
      <c r="K34" s="379">
        <f t="shared" si="3"/>
        <v>0</v>
      </c>
      <c r="M34" s="378"/>
      <c r="N34" s="378">
        <f t="shared" si="5"/>
        <v>0</v>
      </c>
      <c r="O34" s="378"/>
      <c r="P34" s="378"/>
      <c r="R34" s="870"/>
      <c r="S34" s="870"/>
      <c r="T34" s="871"/>
    </row>
    <row r="35" spans="2:20" ht="15" customHeight="1" x14ac:dyDescent="0.2">
      <c r="B35" s="582" t="s">
        <v>39</v>
      </c>
      <c r="C35" s="251"/>
      <c r="D35" s="253"/>
      <c r="E35" s="252"/>
      <c r="F35" s="385">
        <v>0</v>
      </c>
      <c r="G35" s="378">
        <f t="shared" si="0"/>
        <v>0</v>
      </c>
      <c r="H35" s="381">
        <v>0.28999999999999998</v>
      </c>
      <c r="I35" s="311">
        <f t="shared" si="2"/>
        <v>0</v>
      </c>
      <c r="J35" s="378">
        <f>I35*VLOOKUP($B$9,'Base Costs'!$A$32:$B$37,2,FALSE)</f>
        <v>0</v>
      </c>
      <c r="K35" s="379">
        <f t="shared" si="3"/>
        <v>0</v>
      </c>
      <c r="M35" s="378"/>
      <c r="N35" s="378">
        <f t="shared" si="5"/>
        <v>0</v>
      </c>
      <c r="O35" s="378"/>
      <c r="P35" s="378"/>
      <c r="R35" s="870"/>
      <c r="S35" s="870"/>
      <c r="T35" s="871"/>
    </row>
    <row r="36" spans="2:20" ht="15" customHeight="1" x14ac:dyDescent="0.2">
      <c r="B36" s="582" t="s">
        <v>41</v>
      </c>
      <c r="C36" s="251"/>
      <c r="D36" s="253"/>
      <c r="E36" s="252"/>
      <c r="F36" s="385">
        <f>26*1.03</f>
        <v>26.78</v>
      </c>
      <c r="G36" s="378">
        <f t="shared" si="0"/>
        <v>0</v>
      </c>
      <c r="H36" s="381">
        <v>0.28999999999999998</v>
      </c>
      <c r="I36" s="311">
        <f t="shared" si="2"/>
        <v>0</v>
      </c>
      <c r="J36" s="378">
        <f>I36*VLOOKUP($B$9,'Base Costs'!$A$32:$B$37,2,FALSE)</f>
        <v>0</v>
      </c>
      <c r="K36" s="379">
        <f t="shared" si="3"/>
        <v>0</v>
      </c>
      <c r="M36" s="378"/>
      <c r="N36" s="378">
        <f t="shared" si="5"/>
        <v>0</v>
      </c>
      <c r="O36" s="378"/>
      <c r="P36" s="378"/>
      <c r="R36" s="870"/>
      <c r="S36" s="870"/>
      <c r="T36" s="871"/>
    </row>
    <row r="37" spans="2:20" ht="15" customHeight="1" x14ac:dyDescent="0.2">
      <c r="B37" s="582" t="s">
        <v>880</v>
      </c>
      <c r="C37" s="251"/>
      <c r="D37" s="253"/>
      <c r="E37" s="252"/>
      <c r="F37" s="385">
        <v>444</v>
      </c>
      <c r="G37" s="378">
        <f t="shared" si="0"/>
        <v>0</v>
      </c>
      <c r="H37" s="381">
        <v>0.28999999999999998</v>
      </c>
      <c r="I37" s="311">
        <f t="shared" si="2"/>
        <v>0</v>
      </c>
      <c r="J37" s="378">
        <f>I37*VLOOKUP($B$9,'Base Costs'!$A$32:$B$37,2,FALSE)</f>
        <v>0</v>
      </c>
      <c r="K37" s="379">
        <f t="shared" si="3"/>
        <v>0</v>
      </c>
      <c r="M37" s="378"/>
      <c r="N37" s="378">
        <f t="shared" si="5"/>
        <v>0</v>
      </c>
      <c r="O37" s="378"/>
      <c r="P37" s="378"/>
      <c r="R37" s="870"/>
      <c r="S37" s="870"/>
      <c r="T37" s="871"/>
    </row>
    <row r="38" spans="2:20" ht="15" customHeight="1" x14ac:dyDescent="0.2">
      <c r="B38" s="582" t="s">
        <v>209</v>
      </c>
      <c r="C38" s="251"/>
      <c r="D38" s="253"/>
      <c r="E38" s="252"/>
      <c r="F38" s="385">
        <v>0</v>
      </c>
      <c r="G38" s="378">
        <f t="shared" si="0"/>
        <v>0</v>
      </c>
      <c r="H38" s="381">
        <v>0.28999999999999998</v>
      </c>
      <c r="I38" s="311">
        <f t="shared" si="2"/>
        <v>0</v>
      </c>
      <c r="J38" s="378">
        <f>I38*VLOOKUP($B$9,'Base Costs'!$A$32:$B$37,2,FALSE)</f>
        <v>0</v>
      </c>
      <c r="K38" s="379">
        <f t="shared" si="3"/>
        <v>0</v>
      </c>
      <c r="M38" s="378"/>
      <c r="N38" s="378">
        <f t="shared" si="5"/>
        <v>0</v>
      </c>
      <c r="O38" s="378"/>
      <c r="P38" s="378"/>
      <c r="R38" s="870"/>
      <c r="S38" s="870"/>
      <c r="T38" s="871"/>
    </row>
    <row r="39" spans="2:20" ht="15" customHeight="1" x14ac:dyDescent="0.2">
      <c r="B39" s="582" t="s">
        <v>209</v>
      </c>
      <c r="C39" s="251"/>
      <c r="D39" s="253"/>
      <c r="E39" s="252"/>
      <c r="F39" s="385">
        <v>0</v>
      </c>
      <c r="G39" s="378">
        <f t="shared" si="0"/>
        <v>0</v>
      </c>
      <c r="H39" s="381">
        <v>0.28999999999999998</v>
      </c>
      <c r="I39" s="311">
        <f t="shared" si="2"/>
        <v>0</v>
      </c>
      <c r="J39" s="378">
        <f>I39*VLOOKUP($B$9,'Base Costs'!$A$32:$B$37,2,FALSE)</f>
        <v>0</v>
      </c>
      <c r="K39" s="379">
        <f t="shared" si="3"/>
        <v>0</v>
      </c>
      <c r="M39" s="378"/>
      <c r="N39" s="378">
        <f t="shared" si="5"/>
        <v>0</v>
      </c>
      <c r="O39" s="378"/>
      <c r="P39" s="378"/>
      <c r="R39" s="870"/>
      <c r="S39" s="870"/>
      <c r="T39" s="871"/>
    </row>
    <row r="40" spans="2:20" ht="15" customHeight="1" x14ac:dyDescent="0.2">
      <c r="B40" s="583" t="s">
        <v>209</v>
      </c>
      <c r="C40" s="251"/>
      <c r="D40" s="792"/>
      <c r="E40" s="252"/>
      <c r="F40" s="385"/>
      <c r="G40" s="378">
        <f t="shared" si="0"/>
        <v>0</v>
      </c>
      <c r="H40" s="381">
        <v>0.28999999999999998</v>
      </c>
      <c r="I40" s="311">
        <f t="shared" si="2"/>
        <v>0</v>
      </c>
      <c r="J40" s="378">
        <f>I40*VLOOKUP($B$9,'Base Costs'!$A$32:$B$37,2,FALSE)</f>
        <v>0</v>
      </c>
      <c r="K40" s="379">
        <f t="shared" si="3"/>
        <v>0</v>
      </c>
      <c r="M40" s="378"/>
      <c r="N40" s="378"/>
      <c r="O40" s="378"/>
      <c r="P40" s="378">
        <f>J40</f>
        <v>0</v>
      </c>
      <c r="R40" s="870"/>
      <c r="S40" s="870"/>
      <c r="T40" s="871"/>
    </row>
    <row r="41" spans="2:20" ht="15" customHeight="1" x14ac:dyDescent="0.2">
      <c r="B41" s="583" t="s">
        <v>209</v>
      </c>
      <c r="C41" s="251"/>
      <c r="D41" s="793"/>
      <c r="E41" s="252"/>
      <c r="F41" s="385"/>
      <c r="G41" s="378">
        <f t="shared" ref="G41:G44" si="6">C41*F41</f>
        <v>0</v>
      </c>
      <c r="H41" s="381">
        <v>0.28999999999999998</v>
      </c>
      <c r="I41" s="311">
        <f t="shared" ref="I41:I44" si="7">G41/(1-H41)*(1+$C$9)</f>
        <v>0</v>
      </c>
      <c r="J41" s="378">
        <f>I41*VLOOKUP($B$9,'Base Costs'!$A$32:$B$37,2,FALSE)</f>
        <v>0</v>
      </c>
      <c r="K41" s="379">
        <f t="shared" ref="K41:K44" si="8">I41-G41</f>
        <v>0</v>
      </c>
      <c r="M41" s="378"/>
      <c r="N41" s="378"/>
      <c r="O41" s="378"/>
      <c r="P41" s="378">
        <f t="shared" ref="P41:P44" si="9">J41</f>
        <v>0</v>
      </c>
      <c r="R41" s="870"/>
      <c r="S41" s="870"/>
      <c r="T41" s="871"/>
    </row>
    <row r="42" spans="2:20" ht="15" customHeight="1" x14ac:dyDescent="0.2">
      <c r="B42" s="583" t="s">
        <v>209</v>
      </c>
      <c r="C42" s="251"/>
      <c r="D42" s="793"/>
      <c r="E42" s="252"/>
      <c r="F42" s="385"/>
      <c r="G42" s="378">
        <f t="shared" si="6"/>
        <v>0</v>
      </c>
      <c r="H42" s="381">
        <v>0.28999999999999998</v>
      </c>
      <c r="I42" s="311">
        <f t="shared" si="7"/>
        <v>0</v>
      </c>
      <c r="J42" s="378">
        <f>I42*VLOOKUP($B$9,'Base Costs'!$A$32:$B$37,2,FALSE)</f>
        <v>0</v>
      </c>
      <c r="K42" s="379">
        <f t="shared" si="8"/>
        <v>0</v>
      </c>
      <c r="M42" s="378"/>
      <c r="N42" s="378"/>
      <c r="O42" s="378"/>
      <c r="P42" s="378">
        <f t="shared" si="9"/>
        <v>0</v>
      </c>
      <c r="R42" s="870"/>
      <c r="S42" s="870"/>
      <c r="T42" s="871"/>
    </row>
    <row r="43" spans="2:20" ht="15" customHeight="1" x14ac:dyDescent="0.2">
      <c r="B43" s="583" t="s">
        <v>209</v>
      </c>
      <c r="C43" s="251"/>
      <c r="D43" s="253"/>
      <c r="E43" s="252"/>
      <c r="F43" s="385">
        <v>0</v>
      </c>
      <c r="G43" s="378">
        <f t="shared" si="6"/>
        <v>0</v>
      </c>
      <c r="H43" s="381">
        <v>0.28999999999999998</v>
      </c>
      <c r="I43" s="311">
        <f t="shared" si="7"/>
        <v>0</v>
      </c>
      <c r="J43" s="378">
        <f>I43*VLOOKUP($B$9,'Base Costs'!$A$32:$B$37,2,FALSE)</f>
        <v>0</v>
      </c>
      <c r="K43" s="379">
        <f t="shared" si="8"/>
        <v>0</v>
      </c>
      <c r="M43" s="378"/>
      <c r="N43" s="378"/>
      <c r="O43" s="378"/>
      <c r="P43" s="378">
        <f t="shared" si="9"/>
        <v>0</v>
      </c>
      <c r="R43" s="870"/>
      <c r="S43" s="870"/>
      <c r="T43" s="871"/>
    </row>
    <row r="44" spans="2:20" ht="15" customHeight="1" x14ac:dyDescent="0.2">
      <c r="B44" s="583" t="s">
        <v>209</v>
      </c>
      <c r="C44" s="251"/>
      <c r="D44" s="253"/>
      <c r="E44" s="252"/>
      <c r="F44" s="385">
        <v>0</v>
      </c>
      <c r="G44" s="378">
        <f t="shared" si="6"/>
        <v>0</v>
      </c>
      <c r="H44" s="381">
        <v>0.28999999999999998</v>
      </c>
      <c r="I44" s="311">
        <f t="shared" si="7"/>
        <v>0</v>
      </c>
      <c r="J44" s="378">
        <f>I44*VLOOKUP($B$9,'Base Costs'!$A$32:$B$37,2,FALSE)</f>
        <v>0</v>
      </c>
      <c r="K44" s="379">
        <f t="shared" si="8"/>
        <v>0</v>
      </c>
      <c r="M44" s="378"/>
      <c r="N44" s="378"/>
      <c r="O44" s="378"/>
      <c r="P44" s="378">
        <f t="shared" si="9"/>
        <v>0</v>
      </c>
      <c r="R44" s="870"/>
      <c r="S44" s="870"/>
      <c r="T44" s="871"/>
    </row>
    <row r="45" spans="2:20" ht="15" customHeight="1" x14ac:dyDescent="0.2">
      <c r="B45" s="583" t="s">
        <v>209</v>
      </c>
      <c r="C45" s="251"/>
      <c r="D45" s="253"/>
      <c r="E45" s="252"/>
      <c r="F45" s="385">
        <v>0</v>
      </c>
      <c r="G45" s="378">
        <f t="shared" si="0"/>
        <v>0</v>
      </c>
      <c r="H45" s="381">
        <v>0.28999999999999998</v>
      </c>
      <c r="I45" s="311">
        <f t="shared" si="2"/>
        <v>0</v>
      </c>
      <c r="J45" s="378">
        <f>I45*VLOOKUP($B$9,'Base Costs'!$A$32:$B$37,2,FALSE)</f>
        <v>0</v>
      </c>
      <c r="K45" s="379">
        <f t="shared" si="3"/>
        <v>0</v>
      </c>
      <c r="M45" s="378"/>
      <c r="N45" s="378"/>
      <c r="O45" s="378"/>
      <c r="P45" s="378">
        <f t="shared" ref="P45:P49" si="10">J45</f>
        <v>0</v>
      </c>
      <c r="R45" s="870"/>
      <c r="S45" s="870"/>
      <c r="T45" s="871"/>
    </row>
    <row r="46" spans="2:20" ht="15" customHeight="1" x14ac:dyDescent="0.2">
      <c r="B46" s="583" t="s">
        <v>209</v>
      </c>
      <c r="C46" s="251"/>
      <c r="D46" s="253"/>
      <c r="E46" s="252"/>
      <c r="F46" s="385">
        <v>0</v>
      </c>
      <c r="G46" s="378">
        <f t="shared" si="0"/>
        <v>0</v>
      </c>
      <c r="H46" s="381">
        <v>0.28999999999999998</v>
      </c>
      <c r="I46" s="311">
        <f t="shared" si="2"/>
        <v>0</v>
      </c>
      <c r="J46" s="378">
        <f>I46*VLOOKUP($B$9,'Base Costs'!$A$32:$B$37,2,FALSE)</f>
        <v>0</v>
      </c>
      <c r="K46" s="379">
        <f t="shared" si="3"/>
        <v>0</v>
      </c>
      <c r="M46" s="378"/>
      <c r="N46" s="378"/>
      <c r="O46" s="378"/>
      <c r="P46" s="378">
        <f t="shared" si="10"/>
        <v>0</v>
      </c>
      <c r="R46" s="870"/>
      <c r="S46" s="870"/>
      <c r="T46" s="871"/>
    </row>
    <row r="47" spans="2:20" ht="15" customHeight="1" x14ac:dyDescent="0.2">
      <c r="B47" s="583" t="s">
        <v>662</v>
      </c>
      <c r="C47" s="251"/>
      <c r="D47" s="1092" t="s">
        <v>822</v>
      </c>
      <c r="E47" s="1093"/>
      <c r="F47" s="385">
        <v>550</v>
      </c>
      <c r="G47" s="378">
        <f t="shared" si="0"/>
        <v>0</v>
      </c>
      <c r="H47" s="381">
        <v>0.28999999999999998</v>
      </c>
      <c r="I47" s="311">
        <f t="shared" si="2"/>
        <v>0</v>
      </c>
      <c r="J47" s="378">
        <f>I47*VLOOKUP($B$9,'Base Costs'!$A$32:$B$37,2,FALSE)</f>
        <v>0</v>
      </c>
      <c r="K47" s="379">
        <f t="shared" si="3"/>
        <v>0</v>
      </c>
      <c r="M47" s="378"/>
      <c r="N47" s="378"/>
      <c r="O47" s="378"/>
      <c r="P47" s="378">
        <f t="shared" si="10"/>
        <v>0</v>
      </c>
      <c r="R47" s="870"/>
      <c r="S47" s="870"/>
      <c r="T47" s="871"/>
    </row>
    <row r="48" spans="2:20" ht="15" customHeight="1" x14ac:dyDescent="0.2">
      <c r="B48" s="583" t="s">
        <v>817</v>
      </c>
      <c r="C48" s="251"/>
      <c r="D48" s="793" t="s">
        <v>819</v>
      </c>
      <c r="E48" s="252"/>
      <c r="F48" s="385">
        <v>75</v>
      </c>
      <c r="G48" s="378">
        <f t="shared" si="0"/>
        <v>0</v>
      </c>
      <c r="H48" s="381">
        <v>0.28999999999999998</v>
      </c>
      <c r="I48" s="311">
        <f t="shared" si="2"/>
        <v>0</v>
      </c>
      <c r="J48" s="378">
        <f>I48*VLOOKUP($B$9,'Base Costs'!$A$32:$B$37,2,FALSE)</f>
        <v>0</v>
      </c>
      <c r="K48" s="379">
        <f t="shared" si="3"/>
        <v>0</v>
      </c>
      <c r="M48" s="378"/>
      <c r="N48" s="378"/>
      <c r="O48" s="378"/>
      <c r="P48" s="378">
        <f t="shared" si="10"/>
        <v>0</v>
      </c>
      <c r="R48" s="870"/>
      <c r="S48" s="870"/>
      <c r="T48" s="871"/>
    </row>
    <row r="49" spans="2:25" ht="15" customHeight="1" x14ac:dyDescent="0.2">
      <c r="B49" s="583" t="s">
        <v>818</v>
      </c>
      <c r="C49" s="251"/>
      <c r="D49" s="793" t="s">
        <v>820</v>
      </c>
      <c r="E49" s="252"/>
      <c r="F49" s="385">
        <v>150</v>
      </c>
      <c r="G49" s="378">
        <f t="shared" si="0"/>
        <v>0</v>
      </c>
      <c r="H49" s="381">
        <v>0.28999999999999998</v>
      </c>
      <c r="I49" s="311">
        <f t="shared" si="2"/>
        <v>0</v>
      </c>
      <c r="J49" s="378">
        <f>I49*VLOOKUP($B$9,'Base Costs'!$A$32:$B$37,2,FALSE)</f>
        <v>0</v>
      </c>
      <c r="K49" s="379">
        <f t="shared" si="3"/>
        <v>0</v>
      </c>
      <c r="M49" s="378"/>
      <c r="N49" s="378"/>
      <c r="O49" s="378"/>
      <c r="P49" s="378">
        <f t="shared" si="10"/>
        <v>0</v>
      </c>
      <c r="R49" s="870"/>
      <c r="S49" s="870"/>
      <c r="T49" s="871"/>
    </row>
    <row r="50" spans="2:25" ht="15" customHeight="1" x14ac:dyDescent="0.2">
      <c r="B50" s="584" t="s">
        <v>8</v>
      </c>
      <c r="C50" s="251"/>
      <c r="D50" s="255"/>
      <c r="E50" s="252"/>
      <c r="F50" s="385">
        <v>0</v>
      </c>
      <c r="G50" s="378">
        <f t="shared" si="0"/>
        <v>0</v>
      </c>
      <c r="H50" s="381">
        <v>0.28999999999999998</v>
      </c>
      <c r="I50" s="311">
        <f t="shared" si="2"/>
        <v>0</v>
      </c>
      <c r="J50" s="378">
        <f>I50*VLOOKUP($B$9,'Base Costs'!$A$32:$B$37,2,FALSE)</f>
        <v>0</v>
      </c>
      <c r="K50" s="379">
        <f t="shared" si="3"/>
        <v>0</v>
      </c>
      <c r="M50" s="378"/>
      <c r="N50" s="378"/>
      <c r="O50" s="378">
        <f>J50</f>
        <v>0</v>
      </c>
      <c r="P50" s="378"/>
      <c r="R50" s="870"/>
      <c r="S50" s="870"/>
      <c r="T50" s="871"/>
    </row>
    <row r="51" spans="2:25" ht="15" customHeight="1" x14ac:dyDescent="0.2">
      <c r="B51" s="584" t="s">
        <v>5</v>
      </c>
      <c r="C51" s="251"/>
      <c r="D51" s="255"/>
      <c r="E51" s="252"/>
      <c r="F51" s="385">
        <v>0</v>
      </c>
      <c r="G51" s="378">
        <f t="shared" si="0"/>
        <v>0</v>
      </c>
      <c r="H51" s="381">
        <v>0.28999999999999998</v>
      </c>
      <c r="I51" s="311">
        <f t="shared" si="2"/>
        <v>0</v>
      </c>
      <c r="J51" s="378">
        <f>I51*VLOOKUP($B$9,'Base Costs'!$A$32:$B$37,2,FALSE)</f>
        <v>0</v>
      </c>
      <c r="K51" s="379">
        <f t="shared" si="3"/>
        <v>0</v>
      </c>
      <c r="M51" s="378"/>
      <c r="N51" s="378"/>
      <c r="O51" s="378">
        <f t="shared" ref="O51:O54" si="11">J51</f>
        <v>0</v>
      </c>
      <c r="P51" s="378"/>
      <c r="R51" s="870"/>
      <c r="S51" s="870"/>
      <c r="T51" s="871"/>
    </row>
    <row r="52" spans="2:25" ht="15" customHeight="1" x14ac:dyDescent="0.2">
      <c r="B52" s="584" t="s">
        <v>70</v>
      </c>
      <c r="C52" s="251"/>
      <c r="D52" s="253"/>
      <c r="E52" s="252"/>
      <c r="F52" s="385">
        <v>0</v>
      </c>
      <c r="G52" s="378">
        <f t="shared" si="0"/>
        <v>0</v>
      </c>
      <c r="H52" s="381">
        <v>0.28999999999999998</v>
      </c>
      <c r="I52" s="311">
        <f t="shared" si="2"/>
        <v>0</v>
      </c>
      <c r="J52" s="378">
        <f>I52*VLOOKUP($B$9,'Base Costs'!$A$32:$B$37,2,FALSE)</f>
        <v>0</v>
      </c>
      <c r="K52" s="379">
        <f t="shared" si="3"/>
        <v>0</v>
      </c>
      <c r="M52" s="378"/>
      <c r="N52" s="378"/>
      <c r="O52" s="378">
        <f t="shared" si="11"/>
        <v>0</v>
      </c>
      <c r="P52" s="378"/>
      <c r="R52" s="870"/>
      <c r="S52" s="870"/>
      <c r="T52" s="871"/>
    </row>
    <row r="53" spans="2:25" ht="15" customHeight="1" x14ac:dyDescent="0.2">
      <c r="B53" s="584" t="s">
        <v>209</v>
      </c>
      <c r="C53" s="251"/>
      <c r="D53" s="253"/>
      <c r="E53" s="252"/>
      <c r="F53" s="385">
        <v>0</v>
      </c>
      <c r="G53" s="378">
        <f t="shared" si="0"/>
        <v>0</v>
      </c>
      <c r="H53" s="381">
        <v>0.28999999999999998</v>
      </c>
      <c r="I53" s="311">
        <f t="shared" si="2"/>
        <v>0</v>
      </c>
      <c r="J53" s="378">
        <f>I53*VLOOKUP($B$9,'Base Costs'!$A$32:$B$37,2,FALSE)</f>
        <v>0</v>
      </c>
      <c r="K53" s="379">
        <f t="shared" si="3"/>
        <v>0</v>
      </c>
      <c r="M53" s="378"/>
      <c r="N53" s="378"/>
      <c r="O53" s="378">
        <f t="shared" si="11"/>
        <v>0</v>
      </c>
      <c r="P53" s="378"/>
      <c r="R53" s="870"/>
      <c r="S53" s="870"/>
      <c r="T53" s="871"/>
    </row>
    <row r="54" spans="2:25" ht="15" customHeight="1" x14ac:dyDescent="0.2">
      <c r="B54" s="584" t="s">
        <v>209</v>
      </c>
      <c r="C54" s="251"/>
      <c r="D54" s="253"/>
      <c r="E54" s="252"/>
      <c r="F54" s="385">
        <v>0</v>
      </c>
      <c r="G54" s="378">
        <f t="shared" si="0"/>
        <v>0</v>
      </c>
      <c r="H54" s="381">
        <v>0.28999999999999998</v>
      </c>
      <c r="I54" s="311">
        <f t="shared" si="2"/>
        <v>0</v>
      </c>
      <c r="J54" s="378">
        <f>I54*VLOOKUP($B$9,'Base Costs'!$A$32:$B$37,2,FALSE)</f>
        <v>0</v>
      </c>
      <c r="K54" s="379">
        <f t="shared" si="3"/>
        <v>0</v>
      </c>
      <c r="M54" s="378"/>
      <c r="N54" s="378"/>
      <c r="O54" s="378">
        <f t="shared" si="11"/>
        <v>0</v>
      </c>
      <c r="P54" s="378"/>
      <c r="R54" s="870"/>
      <c r="S54" s="870"/>
      <c r="T54" s="871"/>
    </row>
    <row r="55" spans="2:25" ht="15" customHeight="1" x14ac:dyDescent="0.2">
      <c r="B55" s="115"/>
      <c r="C55" s="121"/>
      <c r="D55" s="113"/>
      <c r="F55" s="323"/>
      <c r="G55" s="323"/>
      <c r="H55" s="328"/>
      <c r="I55" s="323"/>
      <c r="J55" s="323"/>
      <c r="K55" s="329"/>
      <c r="R55" s="870"/>
      <c r="S55" s="870"/>
      <c r="T55" s="871"/>
    </row>
    <row r="56" spans="2:25" s="97" customFormat="1" ht="15" customHeight="1" x14ac:dyDescent="0.15">
      <c r="B56" s="1094" t="s">
        <v>47</v>
      </c>
      <c r="C56" s="1094"/>
      <c r="D56" s="1094"/>
      <c r="E56" s="1094"/>
      <c r="F56" s="330"/>
      <c r="G56" s="154">
        <f>SUBTOTAL(9,G57:G66)</f>
        <v>0</v>
      </c>
      <c r="H56" s="15" t="str">
        <f>IF(G56=0,"-",K56/I56)</f>
        <v>-</v>
      </c>
      <c r="I56" s="154">
        <f>SUBTOTAL(9,I57:I66)</f>
        <v>0</v>
      </c>
      <c r="J56" s="465">
        <f>SUBTOTAL(9,J57:J66)</f>
        <v>0</v>
      </c>
      <c r="K56" s="154">
        <f>SUBTOTAL(9,K57:K66)</f>
        <v>0</v>
      </c>
      <c r="M56" s="284"/>
      <c r="N56" s="284"/>
      <c r="O56" s="284"/>
      <c r="P56" s="284"/>
      <c r="R56" s="872"/>
      <c r="S56" s="872"/>
      <c r="T56" s="872"/>
      <c r="V56" s="100"/>
      <c r="Y56" s="101"/>
    </row>
    <row r="57" spans="2:25" s="97" customFormat="1" ht="15" customHeight="1" x14ac:dyDescent="0.15">
      <c r="B57" s="588" t="s">
        <v>726</v>
      </c>
      <c r="C57" s="33"/>
      <c r="D57" s="309" t="s">
        <v>45</v>
      </c>
      <c r="E57" s="28"/>
      <c r="F57" s="385">
        <f>VLOOKUP(D57,'Base Costs'!E4:G221,2,FALSE)</f>
        <v>0</v>
      </c>
      <c r="G57" s="378">
        <f t="shared" ref="G57:G66" si="12">C57*F57</f>
        <v>0</v>
      </c>
      <c r="H57" s="381">
        <v>0.33</v>
      </c>
      <c r="I57" s="311">
        <f t="shared" ref="I57:I66" si="13">G57/(1-H57)*(1+$C$9)</f>
        <v>0</v>
      </c>
      <c r="J57" s="378">
        <f>I57*VLOOKUP($B$9,'Base Costs'!$A$32:$B$37,2,FALSE)</f>
        <v>0</v>
      </c>
      <c r="K57" s="379">
        <f>I57-G57</f>
        <v>0</v>
      </c>
      <c r="M57" s="284"/>
      <c r="N57" s="284"/>
      <c r="O57" s="284"/>
      <c r="P57" s="284"/>
      <c r="R57" s="872"/>
      <c r="S57" s="872"/>
      <c r="T57" s="872"/>
      <c r="V57" s="100"/>
      <c r="Y57" s="101"/>
    </row>
    <row r="58" spans="2:25" s="97" customFormat="1" ht="15" customHeight="1" x14ac:dyDescent="0.15">
      <c r="B58" s="583" t="s">
        <v>36</v>
      </c>
      <c r="C58" s="33"/>
      <c r="D58" s="309" t="s">
        <v>184</v>
      </c>
      <c r="E58" s="28"/>
      <c r="F58" s="385">
        <f>VLOOKUP(D58,'Base Costs'!A4:B28,2,FALSE)</f>
        <v>0</v>
      </c>
      <c r="G58" s="378">
        <f t="shared" si="12"/>
        <v>0</v>
      </c>
      <c r="H58" s="386">
        <v>0.33</v>
      </c>
      <c r="I58" s="311">
        <f t="shared" si="13"/>
        <v>0</v>
      </c>
      <c r="J58" s="378">
        <f>I58*VLOOKUP($B$9,'Base Costs'!$A$32:$B$37,2,FALSE)</f>
        <v>0</v>
      </c>
      <c r="K58" s="379">
        <f>I58-G58</f>
        <v>0</v>
      </c>
      <c r="M58" s="284"/>
      <c r="N58" s="284"/>
      <c r="O58" s="284"/>
      <c r="P58" s="284"/>
      <c r="R58" s="872"/>
      <c r="S58" s="872"/>
      <c r="T58" s="872"/>
      <c r="V58" s="100"/>
      <c r="Y58" s="101"/>
    </row>
    <row r="59" spans="2:25" s="97" customFormat="1" ht="15" customHeight="1" x14ac:dyDescent="0.15">
      <c r="B59" s="583" t="s">
        <v>16</v>
      </c>
      <c r="C59" s="33"/>
      <c r="D59" s="28" t="s">
        <v>137</v>
      </c>
      <c r="E59" s="28"/>
      <c r="F59" s="385">
        <v>610</v>
      </c>
      <c r="G59" s="378">
        <f t="shared" si="12"/>
        <v>0</v>
      </c>
      <c r="H59" s="386">
        <v>0.33</v>
      </c>
      <c r="I59" s="311">
        <f t="shared" si="13"/>
        <v>0</v>
      </c>
      <c r="J59" s="378">
        <f>I59*VLOOKUP($B$9,'Base Costs'!$A$32:$B$37,2,FALSE)</f>
        <v>0</v>
      </c>
      <c r="K59" s="379">
        <f>I59-G59</f>
        <v>0</v>
      </c>
      <c r="M59" s="284"/>
      <c r="N59" s="284"/>
      <c r="O59" s="284"/>
      <c r="P59" s="284"/>
      <c r="R59" s="872"/>
      <c r="S59" s="872"/>
      <c r="T59" s="872"/>
      <c r="V59" s="100"/>
      <c r="Y59" s="101"/>
    </row>
    <row r="60" spans="2:25" s="97" customFormat="1" ht="15" customHeight="1" x14ac:dyDescent="0.15">
      <c r="B60" s="583" t="s">
        <v>13</v>
      </c>
      <c r="C60" s="33"/>
      <c r="D60" s="28"/>
      <c r="E60" s="28"/>
      <c r="F60" s="385">
        <v>200</v>
      </c>
      <c r="G60" s="378">
        <f t="shared" si="12"/>
        <v>0</v>
      </c>
      <c r="H60" s="386">
        <v>0.33</v>
      </c>
      <c r="I60" s="311">
        <f t="shared" si="13"/>
        <v>0</v>
      </c>
      <c r="J60" s="378">
        <f>I60*VLOOKUP($B$9,'Base Costs'!$A$32:$B$37,2,FALSE)</f>
        <v>0</v>
      </c>
      <c r="K60" s="379">
        <f>I60-G60</f>
        <v>0</v>
      </c>
      <c r="M60" s="284"/>
      <c r="N60" s="284"/>
      <c r="O60" s="284"/>
      <c r="P60" s="284"/>
      <c r="R60" s="872"/>
      <c r="S60" s="872"/>
      <c r="T60" s="872"/>
      <c r="V60" s="100"/>
      <c r="Y60" s="101"/>
    </row>
    <row r="61" spans="2:25" s="97" customFormat="1" ht="15" customHeight="1" x14ac:dyDescent="0.15">
      <c r="B61" s="583" t="s">
        <v>135</v>
      </c>
      <c r="C61" s="33"/>
      <c r="D61" s="28" t="s">
        <v>887</v>
      </c>
      <c r="E61" s="28"/>
      <c r="F61" s="385">
        <v>610</v>
      </c>
      <c r="G61" s="378">
        <f t="shared" si="12"/>
        <v>0</v>
      </c>
      <c r="H61" s="386">
        <v>0.4</v>
      </c>
      <c r="I61" s="311">
        <f t="shared" si="13"/>
        <v>0</v>
      </c>
      <c r="J61" s="378">
        <f>I61*VLOOKUP($B$9,'Base Costs'!$A$32:$B$37,2,FALSE)</f>
        <v>0</v>
      </c>
      <c r="K61" s="379">
        <f t="shared" ref="K61:K66" si="14">I61-G61</f>
        <v>0</v>
      </c>
      <c r="M61" s="284"/>
      <c r="N61" s="284"/>
      <c r="O61" s="284"/>
      <c r="P61" s="284"/>
      <c r="R61" s="872"/>
      <c r="S61" s="872"/>
      <c r="T61" s="872"/>
      <c r="V61" s="100"/>
      <c r="Y61" s="101"/>
    </row>
    <row r="62" spans="2:25" s="97" customFormat="1" ht="15" customHeight="1" x14ac:dyDescent="0.15">
      <c r="B62" s="583" t="s">
        <v>136</v>
      </c>
      <c r="C62" s="33"/>
      <c r="D62" s="28" t="s">
        <v>887</v>
      </c>
      <c r="E62" s="28"/>
      <c r="F62" s="385">
        <v>1220</v>
      </c>
      <c r="G62" s="378">
        <f t="shared" si="12"/>
        <v>0</v>
      </c>
      <c r="H62" s="386">
        <v>0.4</v>
      </c>
      <c r="I62" s="311">
        <f t="shared" si="13"/>
        <v>0</v>
      </c>
      <c r="J62" s="378">
        <f>I62*VLOOKUP($B$9,'Base Costs'!$A$32:$B$37,2,FALSE)</f>
        <v>0</v>
      </c>
      <c r="K62" s="379">
        <f t="shared" si="14"/>
        <v>0</v>
      </c>
      <c r="M62" s="284"/>
      <c r="N62" s="284"/>
      <c r="O62" s="284"/>
      <c r="P62" s="284"/>
      <c r="R62" s="872"/>
      <c r="S62" s="872"/>
      <c r="T62" s="872"/>
      <c r="V62" s="100"/>
      <c r="Y62" s="101"/>
    </row>
    <row r="63" spans="2:25" s="97" customFormat="1" ht="15" customHeight="1" x14ac:dyDescent="0.15">
      <c r="B63" s="583" t="s">
        <v>134</v>
      </c>
      <c r="C63" s="33"/>
      <c r="D63" s="28" t="s">
        <v>139</v>
      </c>
      <c r="E63" s="28"/>
      <c r="F63" s="385"/>
      <c r="G63" s="378">
        <f t="shared" si="12"/>
        <v>0</v>
      </c>
      <c r="H63" s="386">
        <v>0.33</v>
      </c>
      <c r="I63" s="311">
        <f t="shared" si="13"/>
        <v>0</v>
      </c>
      <c r="J63" s="378">
        <f>I63*VLOOKUP($B$9,'Base Costs'!$A$32:$B$37,2,FALSE)</f>
        <v>0</v>
      </c>
      <c r="K63" s="379">
        <f t="shared" si="14"/>
        <v>0</v>
      </c>
      <c r="M63" s="284"/>
      <c r="N63" s="284"/>
      <c r="O63" s="284"/>
      <c r="P63" s="284"/>
      <c r="R63" s="872"/>
      <c r="S63" s="872"/>
      <c r="T63" s="872"/>
      <c r="V63" s="100"/>
      <c r="Y63" s="101"/>
    </row>
    <row r="64" spans="2:25" s="97" customFormat="1" ht="15" customHeight="1" x14ac:dyDescent="0.15">
      <c r="B64" s="583" t="s">
        <v>12</v>
      </c>
      <c r="C64" s="33"/>
      <c r="D64" s="28" t="s">
        <v>139</v>
      </c>
      <c r="E64" s="28"/>
      <c r="F64" s="385">
        <v>220</v>
      </c>
      <c r="G64" s="378">
        <f t="shared" si="12"/>
        <v>0</v>
      </c>
      <c r="H64" s="386">
        <v>0.33</v>
      </c>
      <c r="I64" s="311">
        <f t="shared" si="13"/>
        <v>0</v>
      </c>
      <c r="J64" s="378">
        <f>I64*VLOOKUP($B$9,'Base Costs'!$A$32:$B$37,2,FALSE)</f>
        <v>0</v>
      </c>
      <c r="K64" s="379">
        <f t="shared" si="14"/>
        <v>0</v>
      </c>
      <c r="M64" s="284"/>
      <c r="N64" s="284"/>
      <c r="O64" s="284"/>
      <c r="P64" s="284"/>
      <c r="R64" s="872"/>
      <c r="S64" s="872"/>
      <c r="T64" s="872"/>
      <c r="V64" s="100"/>
      <c r="Y64" s="101"/>
    </row>
    <row r="65" spans="2:25" s="97" customFormat="1" ht="15" customHeight="1" x14ac:dyDescent="0.15">
      <c r="B65" s="583" t="s">
        <v>66</v>
      </c>
      <c r="C65" s="33"/>
      <c r="D65" s="28"/>
      <c r="E65" s="28"/>
      <c r="F65" s="385">
        <v>150</v>
      </c>
      <c r="G65" s="378">
        <f t="shared" si="12"/>
        <v>0</v>
      </c>
      <c r="H65" s="386">
        <v>0.33</v>
      </c>
      <c r="I65" s="311">
        <f t="shared" si="13"/>
        <v>0</v>
      </c>
      <c r="J65" s="378">
        <f>I65*VLOOKUP($B$9,'Base Costs'!$A$32:$B$37,2,FALSE)</f>
        <v>0</v>
      </c>
      <c r="K65" s="379">
        <f t="shared" si="14"/>
        <v>0</v>
      </c>
      <c r="M65" s="284"/>
      <c r="N65" s="284"/>
      <c r="O65" s="284"/>
      <c r="P65" s="284"/>
      <c r="R65" s="872"/>
      <c r="S65" s="872"/>
      <c r="T65" s="872"/>
      <c r="V65" s="100"/>
      <c r="Y65" s="101"/>
    </row>
    <row r="66" spans="2:25" s="97" customFormat="1" ht="15" customHeight="1" x14ac:dyDescent="0.15">
      <c r="B66" s="583" t="s">
        <v>32</v>
      </c>
      <c r="C66" s="33"/>
      <c r="D66" s="28" t="s">
        <v>716</v>
      </c>
      <c r="E66" s="28"/>
      <c r="F66" s="385">
        <v>604</v>
      </c>
      <c r="G66" s="378">
        <f t="shared" si="12"/>
        <v>0</v>
      </c>
      <c r="H66" s="386">
        <v>0.33</v>
      </c>
      <c r="I66" s="311">
        <f t="shared" si="13"/>
        <v>0</v>
      </c>
      <c r="J66" s="378">
        <f>I66*VLOOKUP($B$9,'Base Costs'!$A$32:$B$37,2,FALSE)</f>
        <v>0</v>
      </c>
      <c r="K66" s="379">
        <f t="shared" si="14"/>
        <v>0</v>
      </c>
      <c r="M66" s="284"/>
      <c r="N66" s="284"/>
      <c r="O66" s="284"/>
      <c r="P66" s="284"/>
      <c r="R66" s="872"/>
      <c r="S66" s="872"/>
      <c r="T66" s="872"/>
      <c r="V66" s="100"/>
      <c r="Y66" s="101"/>
    </row>
    <row r="67" spans="2:25" ht="15" customHeight="1" x14ac:dyDescent="0.2">
      <c r="D67" s="120"/>
      <c r="R67" s="870"/>
      <c r="S67" s="870"/>
      <c r="T67" s="871"/>
    </row>
    <row r="68" spans="2:25" ht="15" customHeight="1" x14ac:dyDescent="0.2">
      <c r="B68" s="197" t="s">
        <v>121</v>
      </c>
      <c r="C68" s="198"/>
      <c r="D68" s="199"/>
      <c r="E68" s="199"/>
      <c r="F68" s="198"/>
      <c r="G68" s="200"/>
      <c r="H68" s="198"/>
      <c r="I68" s="198"/>
      <c r="J68" s="198"/>
      <c r="K68" s="198"/>
    </row>
    <row r="69" spans="2:25" ht="15" customHeight="1" x14ac:dyDescent="0.2">
      <c r="B69" s="497" t="s">
        <v>676</v>
      </c>
      <c r="C69" s="498">
        <f>M12</f>
        <v>0</v>
      </c>
      <c r="D69" s="202"/>
      <c r="E69" s="204"/>
      <c r="F69" s="209"/>
      <c r="G69" s="209"/>
      <c r="H69" s="203"/>
      <c r="I69" s="203"/>
      <c r="J69" s="203"/>
      <c r="K69" s="205"/>
    </row>
    <row r="70" spans="2:25" ht="15" customHeight="1" x14ac:dyDescent="0.2">
      <c r="B70" s="497" t="s">
        <v>677</v>
      </c>
      <c r="C70" s="498">
        <f>N12</f>
        <v>0</v>
      </c>
      <c r="D70" s="202"/>
      <c r="E70" s="204"/>
      <c r="F70" s="209"/>
      <c r="G70" s="209"/>
      <c r="H70" s="203"/>
      <c r="I70" s="203"/>
      <c r="J70" s="203"/>
      <c r="K70" s="205"/>
    </row>
    <row r="71" spans="2:25" ht="15" customHeight="1" x14ac:dyDescent="0.2">
      <c r="B71" s="497" t="s">
        <v>5</v>
      </c>
      <c r="C71" s="498">
        <f>O12</f>
        <v>0</v>
      </c>
      <c r="D71" s="202"/>
      <c r="E71" s="204"/>
      <c r="F71" s="209"/>
      <c r="G71" s="209"/>
      <c r="H71" s="203"/>
      <c r="I71" s="203"/>
      <c r="J71" s="203"/>
      <c r="K71" s="209"/>
    </row>
    <row r="72" spans="2:25" ht="15" customHeight="1" x14ac:dyDescent="0.2">
      <c r="B72" s="497" t="s">
        <v>11</v>
      </c>
      <c r="C72" s="498">
        <f>SUM(J57:J65)+P12</f>
        <v>0</v>
      </c>
      <c r="D72" s="202"/>
      <c r="E72" s="204"/>
      <c r="F72" s="209"/>
      <c r="G72" s="209"/>
      <c r="H72" s="206"/>
      <c r="I72" s="203"/>
      <c r="J72" s="203"/>
      <c r="K72" s="209"/>
    </row>
    <row r="73" spans="2:25" ht="15" customHeight="1" x14ac:dyDescent="0.2">
      <c r="B73" s="497" t="s">
        <v>32</v>
      </c>
      <c r="C73" s="498">
        <f>J66</f>
        <v>0</v>
      </c>
      <c r="D73" s="202"/>
      <c r="E73" s="202"/>
      <c r="F73" s="209"/>
      <c r="G73" s="207"/>
      <c r="H73" s="209"/>
      <c r="I73" s="203"/>
      <c r="J73" s="203"/>
      <c r="K73" s="205"/>
    </row>
    <row r="74" spans="2:25" ht="15" customHeight="1" x14ac:dyDescent="0.2">
      <c r="B74" s="202"/>
      <c r="C74" s="202"/>
      <c r="D74" s="202"/>
      <c r="E74" s="202"/>
      <c r="F74" s="209"/>
      <c r="G74" s="207"/>
      <c r="H74" s="209"/>
      <c r="I74" s="203"/>
      <c r="J74" s="203"/>
      <c r="K74" s="205"/>
    </row>
    <row r="75" spans="2:25" ht="15" customHeight="1" x14ac:dyDescent="0.2">
      <c r="D75" s="120"/>
    </row>
    <row r="76" spans="2:25" ht="15" customHeight="1" x14ac:dyDescent="0.2">
      <c r="D76" s="120"/>
    </row>
    <row r="77" spans="2:25" ht="15" customHeight="1" x14ac:dyDescent="0.2">
      <c r="D77" s="120"/>
    </row>
    <row r="78" spans="2:25" ht="15" customHeight="1" x14ac:dyDescent="0.2">
      <c r="D78" s="120"/>
    </row>
    <row r="79" spans="2:25" ht="15" customHeight="1" x14ac:dyDescent="0.2">
      <c r="D79" s="120"/>
    </row>
    <row r="80" spans="2:25" ht="15" customHeight="1" x14ac:dyDescent="0.2">
      <c r="D80" s="120"/>
    </row>
    <row r="81" spans="2:4" ht="15" customHeight="1" x14ac:dyDescent="0.2">
      <c r="D81" s="120"/>
    </row>
    <row r="82" spans="2:4" ht="15" customHeight="1" x14ac:dyDescent="0.2">
      <c r="B82" s="117"/>
      <c r="C82" s="122"/>
      <c r="D82" s="117"/>
    </row>
  </sheetData>
  <protectedRanges>
    <protectedRange sqref="K10:K11 K55 F10:F55 B8 D8:G8 B10:D55" name="Estimating" securityDescriptor="O:WDG:WDD:(A;;CC;;;S-1-5-21-1993962763-879983540-839522115-1221)"/>
    <protectedRange sqref="C57:D66 K57:K66 F57:F66" name="Estimating_1" securityDescriptor="O:WDG:WDD:(A;;CC;;;S-1-5-21-1993962763-879983540-839522115-1221)"/>
    <protectedRange sqref="F4:G7 M10" name="Estimating_4" securityDescriptor="O:WDG:WDD:(A;;CC;;;S-1-5-21-1993962763-879983540-839522115-1221)"/>
    <protectedRange sqref="E2:E7 B2:C6 C7 J7:K7" name="Estimating_1_3" securityDescriptor="O:WDG:WDD:(A;;CC;;;S-1-5-21-1993962763-879983540-839522115-1221)"/>
    <protectedRange sqref="K13:K54" name="Estimating_5" securityDescriptor="O:WDG:WDD:(A;;CC;;;S-1-5-21-1993962763-879983540-839522115-1221)"/>
    <protectedRange sqref="F69:F74 B69:B73 K74" name="Full" securityDescriptor="O:WDG:WDD:(A;;CC;;;S-1-5-21-1993962763-879983540-839522115-1156)"/>
    <protectedRange sqref="B74:C74" name="Full_2" securityDescriptor="O:WDG:WDD:(A;;CC;;;S-1-5-21-1993962763-879983540-839522115-1156)"/>
    <protectedRange sqref="D9" name="Estimating_1_1" securityDescriptor="O:WDG:WDD:(A;;CC;;;S-1-5-21-1993962763-879983540-839522115-1221)"/>
  </protectedRanges>
  <dataConsolidate/>
  <mergeCells count="11">
    <mergeCell ref="R10:T10"/>
    <mergeCell ref="C1:J1"/>
    <mergeCell ref="D47:E47"/>
    <mergeCell ref="B56:E56"/>
    <mergeCell ref="F3:G3"/>
    <mergeCell ref="F5:G5"/>
    <mergeCell ref="F7:G7"/>
    <mergeCell ref="C3:D3"/>
    <mergeCell ref="C5:D5"/>
    <mergeCell ref="C7:D7"/>
    <mergeCell ref="M7:O7"/>
  </mergeCells>
  <phoneticPr fontId="0" type="noConversion"/>
  <conditionalFormatting sqref="B9">
    <cfRule type="expression" dxfId="1878" priority="100">
      <formula>B9="CURRENCY"</formula>
    </cfRule>
    <cfRule type="containsText" dxfId="1877" priority="99" operator="containsText" text="SELECT">
      <formula>NOT(ISERROR(SEARCH("SELECT",B9)))</formula>
    </cfRule>
  </conditionalFormatting>
  <conditionalFormatting sqref="B13:B24">
    <cfRule type="expression" dxfId="1876" priority="6">
      <formula>$C13&gt;0</formula>
    </cfRule>
  </conditionalFormatting>
  <conditionalFormatting sqref="B25:B39">
    <cfRule type="expression" dxfId="1875" priority="5">
      <formula>$C25&gt;0</formula>
    </cfRule>
  </conditionalFormatting>
  <conditionalFormatting sqref="B40:B54">
    <cfRule type="expression" dxfId="1874" priority="3">
      <formula>$C40&gt;0</formula>
    </cfRule>
  </conditionalFormatting>
  <conditionalFormatting sqref="B57:B66">
    <cfRule type="expression" dxfId="1873" priority="1">
      <formula>$C57&gt;0</formula>
    </cfRule>
  </conditionalFormatting>
  <conditionalFormatting sqref="C13:C54">
    <cfRule type="cellIs" dxfId="1872" priority="20" operator="lessThan">
      <formula>1</formula>
    </cfRule>
  </conditionalFormatting>
  <conditionalFormatting sqref="C57:C66">
    <cfRule type="cellIs" dxfId="1871" priority="103" operator="equal">
      <formula>0</formula>
    </cfRule>
  </conditionalFormatting>
  <conditionalFormatting sqref="C9:D9">
    <cfRule type="cellIs" dxfId="1870" priority="66" operator="greaterThan">
      <formula>0</formula>
    </cfRule>
    <cfRule type="cellIs" dxfId="1869" priority="65" operator="lessThan">
      <formula>0</formula>
    </cfRule>
  </conditionalFormatting>
  <conditionalFormatting sqref="F13:F54">
    <cfRule type="expression" dxfId="1868" priority="19">
      <formula>C13&gt;0</formula>
    </cfRule>
  </conditionalFormatting>
  <conditionalFormatting sqref="F57:F66">
    <cfRule type="expression" dxfId="1867" priority="63">
      <formula>C57&gt;0</formula>
    </cfRule>
  </conditionalFormatting>
  <conditionalFormatting sqref="F58:F66">
    <cfRule type="expression" dxfId="1866" priority="101">
      <formula>C58&lt;1</formula>
    </cfRule>
  </conditionalFormatting>
  <conditionalFormatting sqref="G13:G54">
    <cfRule type="cellIs" dxfId="1865" priority="18" operator="greaterThan">
      <formula>0</formula>
    </cfRule>
  </conditionalFormatting>
  <conditionalFormatting sqref="G57:G66">
    <cfRule type="cellIs" dxfId="1864" priority="61" operator="greaterThan">
      <formula>0</formula>
    </cfRule>
  </conditionalFormatting>
  <conditionalFormatting sqref="H13:H54">
    <cfRule type="expression" dxfId="1863" priority="25">
      <formula>$C$9&gt;0</formula>
    </cfRule>
    <cfRule type="expression" dxfId="1862" priority="26">
      <formula>$C$9&lt;0</formula>
    </cfRule>
  </conditionalFormatting>
  <conditionalFormatting sqref="H57:H66">
    <cfRule type="expression" dxfId="1861" priority="313">
      <formula>$C$9&gt;0</formula>
    </cfRule>
    <cfRule type="expression" dxfId="1860" priority="314">
      <formula>$C$9&lt;0</formula>
    </cfRule>
  </conditionalFormatting>
  <conditionalFormatting sqref="J2:J6 J75:J1048576">
    <cfRule type="expression" dxfId="1859" priority="303">
      <formula>$B$9="EURO"</formula>
    </cfRule>
  </conditionalFormatting>
  <conditionalFormatting sqref="J8:J67">
    <cfRule type="expression" dxfId="1858" priority="21">
      <formula>$B$9="EURO"</formula>
    </cfRule>
  </conditionalFormatting>
  <conditionalFormatting sqref="J9 J56:J66">
    <cfRule type="expression" dxfId="1857" priority="310">
      <formula>$B$9="USD"</formula>
    </cfRule>
    <cfRule type="expression" dxfId="1856" priority="311">
      <formula>$B$9="PLN"</formula>
    </cfRule>
    <cfRule type="expression" dxfId="1855" priority="312">
      <formula>$B$9="CZK"</formula>
    </cfRule>
  </conditionalFormatting>
  <conditionalFormatting sqref="J12:J54">
    <cfRule type="expression" dxfId="1854" priority="24">
      <formula>$B$9="CZK"</formula>
    </cfRule>
    <cfRule type="expression" dxfId="1853" priority="23">
      <formula>$B$9="PLN"</formula>
    </cfRule>
    <cfRule type="expression" dxfId="1852" priority="22">
      <formula>$B$9="USD"</formula>
    </cfRule>
  </conditionalFormatting>
  <conditionalFormatting sqref="J68:J74">
    <cfRule type="expression" dxfId="1851" priority="93">
      <formula>$F$10="EURO"</formula>
    </cfRule>
  </conditionalFormatting>
  <conditionalFormatting sqref="J13:K54">
    <cfRule type="cellIs" dxfId="1850" priority="17" operator="greaterThan">
      <formula>0</formula>
    </cfRule>
  </conditionalFormatting>
  <conditionalFormatting sqref="J57:K66">
    <cfRule type="cellIs" dxfId="1849" priority="60" operator="greaterThan">
      <formula>0</formula>
    </cfRule>
  </conditionalFormatting>
  <conditionalFormatting sqref="M12:P54">
    <cfRule type="expression" dxfId="1848" priority="11">
      <formula>$B$9="CZK"</formula>
    </cfRule>
    <cfRule type="expression" dxfId="1847" priority="10">
      <formula>$B$9="PLN"</formula>
    </cfRule>
    <cfRule type="expression" dxfId="1846" priority="9">
      <formula>$B$9="USD"</formula>
    </cfRule>
    <cfRule type="expression" dxfId="1845" priority="8">
      <formula>$B$9="EURO"</formula>
    </cfRule>
  </conditionalFormatting>
  <conditionalFormatting sqref="M13:P54">
    <cfRule type="cellIs" dxfId="1844" priority="7" operator="greaterThan">
      <formula>0</formula>
    </cfRule>
  </conditionalFormatting>
  <dataValidations count="2">
    <dataValidation type="list" allowBlank="1" showInputMessage="1" showErrorMessage="1" sqref="D13" xr:uid="{00000000-0002-0000-0600-000000000000}">
      <formula1>FanSize</formula1>
    </dataValidation>
    <dataValidation type="list" allowBlank="1" showInputMessage="1" showErrorMessage="1" sqref="D55" xr:uid="{00000000-0002-0000-0600-000001000000}">
      <formula1>$B$3:$B$15</formula1>
    </dataValidation>
  </dataValidations>
  <printOptions horizontalCentered="1"/>
  <pageMargins left="0.23622047244094491" right="0.35433070866141736" top="0.39370078740157483" bottom="0.39370078740157483" header="0.31496062992125984" footer="0.11811023622047245"/>
  <pageSetup paperSize="9" scale="62" orientation="portrait" r:id="rId1"/>
  <headerFooter alignWithMargins="0">
    <oddFooter>&amp;L&amp;Z&amp;F</oddFooter>
  </headerFooter>
  <ignoredErrors>
    <ignoredError sqref="H56 H12" formula="1"/>
  </ignoredError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3000000}">
          <x14:formula1>
            <xm:f>'Base Costs'!$I$19:$I$23</xm:f>
          </x14:formula1>
          <xm:sqref>D14 D26</xm:sqref>
        </x14:dataValidation>
        <x14:dataValidation type="list" allowBlank="1" showInputMessage="1" showErrorMessage="1" xr:uid="{00000000-0002-0000-0600-000004000000}">
          <x14:formula1>
            <xm:f>'Base Costs'!$I$25:$I$31</xm:f>
          </x14:formula1>
          <xm:sqref>D25</xm:sqref>
        </x14:dataValidation>
        <x14:dataValidation type="list" allowBlank="1" showInputMessage="1" showErrorMessage="1" xr:uid="{00000000-0002-0000-0600-000005000000}">
          <x14:formula1>
            <xm:f>'Base Costs'!$A$4:$A$16</xm:f>
          </x14:formula1>
          <xm:sqref>D58</xm:sqref>
        </x14:dataValidation>
        <x14:dataValidation type="list" allowBlank="1" showInputMessage="1" showErrorMessage="1" xr:uid="{00000000-0002-0000-0600-000006000000}">
          <x14:formula1>
            <xm:f>'Base Costs'!$E$4:$E$213</xm:f>
          </x14:formula1>
          <xm:sqref>D57</xm:sqref>
        </x14:dataValidation>
        <x14:dataValidation type="list" allowBlank="1" showInputMessage="1" showErrorMessage="1" xr:uid="{00000000-0002-0000-0600-000007000000}">
          <x14:formula1>
            <xm:f>'Base Costs'!$I$39:$I$44</xm:f>
          </x14:formula1>
          <xm:sqref>D28</xm:sqref>
        </x14:dataValidation>
        <x14:dataValidation type="list" allowBlank="1" showInputMessage="1" showErrorMessage="1" xr:uid="{00000000-0002-0000-0600-000008000000}">
          <x14:formula1>
            <xm:f>'Base Costs'!$I$12:$I$16</xm:f>
          </x14:formula1>
          <xm:sqref>D15</xm:sqref>
        </x14:dataValidation>
        <x14:dataValidation type="list" allowBlank="1" showInputMessage="1" showErrorMessage="1" xr:uid="{00000000-0002-0000-0600-000009000000}">
          <x14:formula1>
            <xm:f>'Base Costs'!$I$33:$I$37</xm:f>
          </x14:formula1>
          <xm:sqref>D27</xm:sqref>
        </x14:dataValidation>
        <x14:dataValidation type="list" allowBlank="1" showInputMessage="1" showErrorMessage="1" xr:uid="{00000000-0002-0000-0600-00000A000000}">
          <x14:formula1>
            <xm:f>'Base Costs'!$A$32:$A$37</xm:f>
          </x14:formula1>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8" tint="0.79998168889431442"/>
    <pageSetUpPr fitToPage="1"/>
  </sheetPr>
  <dimension ref="A1:AB310"/>
  <sheetViews>
    <sheetView showGridLines="0" zoomScale="80" zoomScaleNormal="80" zoomScaleSheetLayoutView="50" workbookViewId="0">
      <selection activeCell="R28" sqref="R28"/>
    </sheetView>
  </sheetViews>
  <sheetFormatPr baseColWidth="10" defaultColWidth="8.83203125" defaultRowHeight="15" customHeight="1" outlineLevelRow="1" x14ac:dyDescent="0.15"/>
  <cols>
    <col min="1" max="1" width="2" style="665" customWidth="1"/>
    <col min="2" max="2" width="29.6640625" style="672" customWidth="1"/>
    <col min="3" max="3" width="24.6640625" style="672" customWidth="1"/>
    <col min="4" max="4" width="27.1640625" style="672" customWidth="1"/>
    <col min="5" max="5" width="26.6640625" style="672" customWidth="1"/>
    <col min="6" max="6" width="18.83203125" style="672" customWidth="1"/>
    <col min="7" max="7" width="22.6640625" style="672" customWidth="1"/>
    <col min="8" max="8" width="10" style="699" bestFit="1" customWidth="1"/>
    <col min="9" max="9" width="11.6640625" style="699" bestFit="1" customWidth="1"/>
    <col min="10" max="10" width="12.33203125" style="700" customWidth="1"/>
    <col min="11" max="11" width="15" style="690" customWidth="1"/>
    <col min="12" max="12" width="7.6640625" style="690" bestFit="1" customWidth="1"/>
    <col min="13" max="13" width="12.33203125" style="697" hidden="1" customWidth="1"/>
    <col min="14" max="14" width="12.83203125" style="700" customWidth="1"/>
    <col min="15" max="15" width="16.1640625" style="685" bestFit="1" customWidth="1"/>
    <col min="16" max="16" width="15.5" style="672" customWidth="1"/>
    <col min="17" max="24" width="8.83203125" style="672" customWidth="1"/>
    <col min="25" max="25" width="8.83203125" style="675" customWidth="1"/>
    <col min="26" max="27" width="8.83203125" style="672" customWidth="1"/>
    <col min="28" max="28" width="8.83203125" style="768" customWidth="1"/>
    <col min="29" max="97" width="8.83203125" style="672" customWidth="1"/>
    <col min="98" max="16384" width="8.83203125" style="672"/>
  </cols>
  <sheetData>
    <row r="1" spans="1:26" ht="15" customHeight="1" x14ac:dyDescent="0.15">
      <c r="B1" s="1108" t="s">
        <v>1465</v>
      </c>
      <c r="C1" s="1108"/>
      <c r="D1" s="666"/>
      <c r="E1" s="666"/>
      <c r="F1" s="666"/>
      <c r="G1" s="666"/>
      <c r="H1" s="667"/>
      <c r="I1" s="667"/>
      <c r="J1" s="668"/>
      <c r="K1" s="669"/>
      <c r="L1" s="670"/>
      <c r="M1" s="671"/>
      <c r="N1" s="668"/>
      <c r="O1" s="981" t="s">
        <v>1478</v>
      </c>
      <c r="Q1" s="673"/>
      <c r="R1" s="674"/>
    </row>
    <row r="2" spans="1:26" ht="15" customHeight="1" x14ac:dyDescent="0.15">
      <c r="B2" s="676"/>
      <c r="C2" s="677"/>
      <c r="D2" s="677"/>
      <c r="F2" s="676"/>
      <c r="G2" s="678"/>
      <c r="H2" s="679"/>
      <c r="I2" s="679"/>
      <c r="J2" s="680"/>
      <c r="K2" s="681"/>
      <c r="L2" s="682"/>
      <c r="M2" s="683"/>
      <c r="N2" s="684"/>
      <c r="R2" s="686"/>
      <c r="W2" s="687"/>
    </row>
    <row r="3" spans="1:26" ht="15" customHeight="1" x14ac:dyDescent="0.15">
      <c r="B3" s="688" t="s">
        <v>728</v>
      </c>
      <c r="C3" s="1080"/>
      <c r="D3" s="1110"/>
      <c r="F3" s="689" t="s">
        <v>75</v>
      </c>
      <c r="G3" s="1081"/>
      <c r="H3" s="1111"/>
      <c r="I3" s="1111"/>
      <c r="J3" s="1111"/>
      <c r="L3" s="682"/>
      <c r="M3" s="683"/>
      <c r="N3" s="684"/>
      <c r="R3" s="686"/>
    </row>
    <row r="4" spans="1:26" ht="15" customHeight="1" x14ac:dyDescent="0.15">
      <c r="B4" s="676"/>
      <c r="C4" s="691"/>
      <c r="D4" s="691"/>
      <c r="F4" s="678"/>
      <c r="G4" s="679"/>
      <c r="H4" s="692"/>
      <c r="I4" s="692"/>
      <c r="J4" s="681"/>
      <c r="L4" s="682"/>
      <c r="M4" s="683"/>
      <c r="N4" s="684"/>
      <c r="R4" s="686"/>
    </row>
    <row r="5" spans="1:26" ht="15" customHeight="1" x14ac:dyDescent="0.15">
      <c r="B5" s="688" t="s">
        <v>72</v>
      </c>
      <c r="C5" s="1080"/>
      <c r="D5" s="1110"/>
      <c r="F5" s="689" t="s">
        <v>74</v>
      </c>
      <c r="G5" s="1081"/>
      <c r="H5" s="1111"/>
      <c r="I5" s="1111"/>
      <c r="J5" s="1111"/>
      <c r="M5" s="683"/>
      <c r="N5" s="684"/>
      <c r="P5" s="1101" t="s">
        <v>1415</v>
      </c>
      <c r="Q5" s="1101"/>
      <c r="R5" s="1101"/>
      <c r="S5" s="1101"/>
      <c r="T5" s="1101"/>
    </row>
    <row r="6" spans="1:26" ht="15" customHeight="1" x14ac:dyDescent="0.15">
      <c r="B6" s="688"/>
      <c r="C6" s="694"/>
      <c r="D6" s="694"/>
      <c r="F6" s="689"/>
      <c r="G6" s="679"/>
      <c r="H6" s="676"/>
      <c r="I6" s="676"/>
      <c r="J6" s="695"/>
      <c r="L6" s="682"/>
      <c r="M6" s="683"/>
      <c r="N6" s="684"/>
      <c r="P6" s="693"/>
      <c r="R6" s="686"/>
      <c r="S6" s="687"/>
      <c r="Y6" s="696"/>
    </row>
    <row r="7" spans="1:26" ht="15" customHeight="1" x14ac:dyDescent="0.15">
      <c r="B7" s="673" t="s">
        <v>729</v>
      </c>
      <c r="C7" s="1080"/>
      <c r="D7" s="1110"/>
      <c r="F7" s="689" t="s">
        <v>73</v>
      </c>
      <c r="G7" s="1083"/>
      <c r="H7" s="1112"/>
      <c r="I7" s="1112"/>
      <c r="J7" s="1112"/>
      <c r="N7" s="698" t="s">
        <v>76</v>
      </c>
      <c r="O7" s="804"/>
      <c r="P7" s="1091" t="s">
        <v>1370</v>
      </c>
      <c r="Q7" s="1091"/>
      <c r="R7" s="1091"/>
      <c r="S7" s="687"/>
      <c r="Y7" s="696"/>
    </row>
    <row r="8" spans="1:26" ht="15" customHeight="1" x14ac:dyDescent="0.15">
      <c r="D8" s="675"/>
      <c r="E8" s="675"/>
      <c r="G8" s="675"/>
      <c r="J8" s="697"/>
      <c r="K8" s="685"/>
      <c r="R8" s="686"/>
      <c r="Y8" s="696"/>
    </row>
    <row r="9" spans="1:26" s="673" customFormat="1" ht="15" customHeight="1" x14ac:dyDescent="0.15">
      <c r="A9" s="665"/>
      <c r="B9" s="701" t="s">
        <v>348</v>
      </c>
      <c r="C9" s="952"/>
      <c r="D9" s="797">
        <f>IF(C9=0,0,(SUBTOTAL(9,M14:M197)/(1-C9))-M9)</f>
        <v>0</v>
      </c>
      <c r="E9" s="1109"/>
      <c r="F9" s="1109"/>
      <c r="G9" s="1122"/>
      <c r="H9" s="1123"/>
      <c r="I9" s="1123"/>
      <c r="J9" s="1123"/>
      <c r="K9" s="702">
        <f>SUBTOTAL(9,K12:K197)</f>
        <v>344.79</v>
      </c>
      <c r="L9" s="974">
        <f>IF(O9=0,"-",O9/M9)</f>
        <v>0.33247192137182435</v>
      </c>
      <c r="M9" s="702">
        <f>SUBTOTAL(9,M12:M197)</f>
        <v>516.51759834368534</v>
      </c>
      <c r="N9" s="704">
        <f>SUBTOTAL(9,N12:N197)</f>
        <v>516.51759834368534</v>
      </c>
      <c r="O9" s="702">
        <f>SUBTOTAL(9,O12:O197)</f>
        <v>171.72759834368532</v>
      </c>
      <c r="P9" s="672"/>
      <c r="Q9" s="672"/>
      <c r="R9" s="672"/>
      <c r="S9" s="672"/>
      <c r="T9" s="672"/>
      <c r="X9" s="672"/>
      <c r="Y9" s="672"/>
      <c r="Z9" s="672"/>
    </row>
    <row r="10" spans="1:26" s="673" customFormat="1" ht="15" customHeight="1" x14ac:dyDescent="0.15">
      <c r="A10" s="665"/>
      <c r="B10" s="705" t="s">
        <v>348</v>
      </c>
      <c r="C10" s="705" t="s">
        <v>537</v>
      </c>
      <c r="D10" s="705" t="s">
        <v>536</v>
      </c>
      <c r="E10" s="705"/>
      <c r="F10" s="705"/>
      <c r="G10" s="705"/>
      <c r="H10" s="705"/>
      <c r="I10" s="706"/>
      <c r="J10" s="707" t="s">
        <v>204</v>
      </c>
      <c r="K10" s="708" t="s">
        <v>34</v>
      </c>
      <c r="L10" s="709" t="s">
        <v>141</v>
      </c>
      <c r="M10" s="710" t="s">
        <v>127</v>
      </c>
      <c r="N10" s="707" t="s">
        <v>205</v>
      </c>
      <c r="O10" s="711" t="s">
        <v>206</v>
      </c>
      <c r="P10" s="672"/>
      <c r="Q10" s="672"/>
      <c r="R10" s="672"/>
      <c r="S10" s="712"/>
      <c r="T10" s="672"/>
      <c r="X10" s="672"/>
      <c r="Y10" s="672"/>
      <c r="Z10" s="672"/>
    </row>
    <row r="11" spans="1:26" s="673" customFormat="1" ht="15" customHeight="1" x14ac:dyDescent="0.15">
      <c r="A11" s="665"/>
      <c r="B11" s="713"/>
      <c r="C11" s="714"/>
      <c r="D11" s="714"/>
      <c r="E11" s="714"/>
      <c r="F11" s="714"/>
      <c r="G11" s="715" t="s">
        <v>347</v>
      </c>
      <c r="H11" s="714"/>
      <c r="I11" s="715">
        <f>IF(ISNUMBER(SEARCH("UV",D14)),49.7,71.75)</f>
        <v>71.75</v>
      </c>
      <c r="J11" s="716"/>
      <c r="K11" s="713"/>
      <c r="L11" s="717"/>
      <c r="M11" s="718"/>
      <c r="N11" s="716"/>
      <c r="O11" s="685"/>
      <c r="P11" s="672"/>
      <c r="Q11" s="672"/>
      <c r="R11" s="672"/>
      <c r="S11" s="712"/>
      <c r="T11" s="672"/>
      <c r="X11" s="672"/>
      <c r="Y11" s="672"/>
      <c r="Z11" s="672"/>
    </row>
    <row r="12" spans="1:26" s="673" customFormat="1" ht="15" customHeight="1" x14ac:dyDescent="0.15">
      <c r="A12" s="665"/>
      <c r="B12" s="241" t="s">
        <v>604</v>
      </c>
      <c r="C12" s="719">
        <f>IF(H12&lt;1,0,(((VLOOKUP(G12,CC!$D$2:$F$670,3,FALSE))*H12)+IF(ISNUMBER(SEARCH("CMW",D14)),VLOOKUP(C25,CCBASE!$A$81:$C$85,3,FALSE),0)+(VLOOKUP(C17,CCBASE!$A$53:$C$73,3,FALSE)*D17)+(VLOOKUP(C18,CCBASE!$A$53:$C$73,3,FALSE)*D18))&amp;" HRS")</f>
        <v>0</v>
      </c>
      <c r="D12" s="720" t="str">
        <f>D14</f>
        <v>CANOPY TYPE</v>
      </c>
      <c r="E12" s="701">
        <f>CEILING(IF(C14="WALL",E14, (E14/2)),250)</f>
        <v>0</v>
      </c>
      <c r="F12" s="701">
        <f>IF(H12&lt;1,0,CEILING((F14-100)/H14,250))</f>
        <v>0</v>
      </c>
      <c r="G12" s="720" t="str">
        <f>D12&amp;F12&amp;E12</f>
        <v>CANOPY TYPE00</v>
      </c>
      <c r="H12" s="719">
        <f>IF(E14=0,0,IF(F14=0,0,(E14/(IF(C14="WALL",E14,(E14/2)))*H14)))</f>
        <v>0</v>
      </c>
      <c r="I12" s="719" t="str">
        <f>I14&amp;" m³/s"</f>
        <v xml:space="preserve"> m³/s</v>
      </c>
      <c r="J12" s="721"/>
      <c r="K12" s="722">
        <f>SUBTOTAL(9,K14:K27)</f>
        <v>344.79</v>
      </c>
      <c r="L12" s="703">
        <f>IF(K12=0,"-",O12/M12)</f>
        <v>0.33247192137182435</v>
      </c>
      <c r="M12" s="722">
        <f>SUBTOTAL(9,M14:M27)</f>
        <v>516.51759834368534</v>
      </c>
      <c r="N12" s="704">
        <f>SUBTOTAL(9,N14:N27)</f>
        <v>516.51759834368534</v>
      </c>
      <c r="O12" s="722">
        <f>SUBTOTAL(9,O14:O27)</f>
        <v>171.72759834368532</v>
      </c>
      <c r="P12" s="672"/>
      <c r="Q12" s="672"/>
      <c r="R12" s="672"/>
      <c r="S12" s="712"/>
      <c r="T12" s="672"/>
      <c r="X12" s="672"/>
      <c r="Y12" s="672"/>
      <c r="Z12" s="672"/>
    </row>
    <row r="13" spans="1:26" ht="15" customHeight="1" outlineLevel="1" x14ac:dyDescent="0.15">
      <c r="B13" s="723"/>
      <c r="C13" s="724" t="s">
        <v>198</v>
      </c>
      <c r="D13" s="725" t="s">
        <v>255</v>
      </c>
      <c r="E13" s="724" t="s">
        <v>128</v>
      </c>
      <c r="F13" s="724" t="s">
        <v>129</v>
      </c>
      <c r="G13" s="724" t="s">
        <v>172</v>
      </c>
      <c r="H13" s="724" t="s">
        <v>197</v>
      </c>
      <c r="I13" s="725" t="s">
        <v>256</v>
      </c>
      <c r="J13" s="726"/>
      <c r="K13" s="727"/>
      <c r="L13" s="727"/>
      <c r="M13" s="728"/>
      <c r="N13" s="729"/>
      <c r="O13" s="711"/>
      <c r="S13" s="693"/>
      <c r="Y13" s="672"/>
    </row>
    <row r="14" spans="1:26" ht="15" customHeight="1" outlineLevel="1" x14ac:dyDescent="0.2">
      <c r="B14" s="269" t="s">
        <v>182</v>
      </c>
      <c r="C14" s="731" t="s">
        <v>183</v>
      </c>
      <c r="D14" s="858" t="s">
        <v>130</v>
      </c>
      <c r="E14" s="733"/>
      <c r="F14" s="733"/>
      <c r="G14" s="733"/>
      <c r="H14" s="734"/>
      <c r="I14" s="733"/>
      <c r="J14" s="735">
        <f>IF(ISNA(C12),0,IF(F12&gt;3000,0,(IF(H12&lt;1,0,((VLOOKUP(G12,CC!$D$2:$E$670,2,FALSE))*H12)+((VLOOKUP(G12,CC!$D$2:$AD$670,17,FALSE)*(H12/H14)))))))</f>
        <v>0</v>
      </c>
      <c r="K14" s="736">
        <f>J14*1</f>
        <v>0</v>
      </c>
      <c r="L14" s="737">
        <v>0.44</v>
      </c>
      <c r="M14" s="738">
        <f t="shared" ref="M14:M27" si="0">K14/(1-L14)*(1+$C$9)</f>
        <v>0</v>
      </c>
      <c r="N14" s="736">
        <f>M14*VLOOKUP($B$9,'Base Costs'!$A$32:$B$37,2,FALSE)</f>
        <v>0</v>
      </c>
      <c r="O14" s="739">
        <f t="shared" ref="O14:O27" si="1">M14-K14</f>
        <v>0</v>
      </c>
      <c r="S14" s="693"/>
      <c r="Y14" s="672"/>
    </row>
    <row r="15" spans="1:26" ht="15" customHeight="1" outlineLevel="1" x14ac:dyDescent="0.15">
      <c r="A15" s="665">
        <v>104</v>
      </c>
      <c r="B15" s="730" t="s">
        <v>4</v>
      </c>
      <c r="C15" s="732" t="s">
        <v>1045</v>
      </c>
      <c r="D15" s="740">
        <v>1</v>
      </c>
      <c r="E15" s="856"/>
      <c r="F15" s="742"/>
      <c r="G15" s="743"/>
      <c r="H15" s="667"/>
      <c r="I15" s="667"/>
      <c r="J15" s="735">
        <f>IF(ISNA(C12),0,IF(D15=0,0,IF(C15="FLO",VLOOKUP(E15,'Base Costs'!$M$5:$N$15,2,FALSE),IF(C15="LED STRIP",VLOOKUP(E15,'Base Costs'!$M$4:$N$15,2,FALSE),(VLOOKUP(C15,'Base Costs'!$M$4:$N$15,2,FALSE))))))</f>
        <v>294.79000000000002</v>
      </c>
      <c r="K15" s="736">
        <f>J15*D15</f>
        <v>294.79000000000002</v>
      </c>
      <c r="L15" s="737">
        <v>0.31</v>
      </c>
      <c r="M15" s="738">
        <f t="shared" si="0"/>
        <v>427.23188405797106</v>
      </c>
      <c r="N15" s="736">
        <f>M15*VLOOKUP($B$9,'Base Costs'!$A$32:$B$37,2,FALSE)</f>
        <v>427.23188405797106</v>
      </c>
      <c r="O15" s="739">
        <f t="shared" si="1"/>
        <v>132.44188405797104</v>
      </c>
      <c r="P15" s="744"/>
      <c r="S15" s="693"/>
      <c r="Y15" s="672"/>
    </row>
    <row r="16" spans="1:26" ht="15" customHeight="1" outlineLevel="1" x14ac:dyDescent="0.15">
      <c r="A16" s="665">
        <v>234</v>
      </c>
      <c r="B16" s="269" t="s">
        <v>1054</v>
      </c>
      <c r="C16" s="745" t="s">
        <v>839</v>
      </c>
      <c r="D16" s="746"/>
      <c r="E16" s="960" t="s">
        <v>1375</v>
      </c>
      <c r="F16" s="748"/>
      <c r="G16" s="749"/>
      <c r="H16" s="750"/>
      <c r="I16" s="751">
        <v>1</v>
      </c>
      <c r="J16" s="735">
        <f>VLOOKUP(C16,'Base Costs'!$U$4:$V$41,2,FALSE)</f>
        <v>0</v>
      </c>
      <c r="K16" s="736">
        <f t="shared" ref="K16:K24" si="2">J16*1</f>
        <v>0</v>
      </c>
      <c r="L16" s="737">
        <v>0.35</v>
      </c>
      <c r="M16" s="738">
        <f t="shared" si="0"/>
        <v>0</v>
      </c>
      <c r="N16" s="736">
        <f>M16*VLOOKUP($B$9,'Base Costs'!$A$32:$B$37,2,FALSE)</f>
        <v>0</v>
      </c>
      <c r="O16" s="739">
        <f t="shared" si="1"/>
        <v>0</v>
      </c>
      <c r="P16" s="744"/>
      <c r="Q16" s="931"/>
      <c r="S16" s="693"/>
      <c r="Y16" s="672"/>
    </row>
    <row r="17" spans="1:26" ht="15" customHeight="1" outlineLevel="1" x14ac:dyDescent="0.15">
      <c r="B17" s="269" t="s">
        <v>339</v>
      </c>
      <c r="C17" s="752" t="s">
        <v>342</v>
      </c>
      <c r="D17" s="734"/>
      <c r="E17" s="753" t="str">
        <f>IF(C17="","",VLOOKUP(C17,CCBASE!$A$53:$D$73,4,FALSE))</f>
        <v/>
      </c>
      <c r="F17" s="754"/>
      <c r="G17" s="749"/>
      <c r="H17" s="750"/>
      <c r="I17" s="755"/>
      <c r="J17" s="735">
        <f>IF(C17="",0,VLOOKUP(C17,CCBASE!$A$53:$C$73,2,FALSE))</f>
        <v>0</v>
      </c>
      <c r="K17" s="736">
        <f>J17*D17</f>
        <v>0</v>
      </c>
      <c r="L17" s="737">
        <v>0.44</v>
      </c>
      <c r="M17" s="738">
        <f t="shared" ref="M17" si="3">K17/(1-L17)*(1+$C$9)</f>
        <v>0</v>
      </c>
      <c r="N17" s="736">
        <f>M17*VLOOKUP($B$9,'Base Costs'!$A$32:$B$37,2,FALSE)</f>
        <v>0</v>
      </c>
      <c r="O17" s="739">
        <f t="shared" si="1"/>
        <v>0</v>
      </c>
      <c r="P17" s="860"/>
      <c r="S17" s="693"/>
      <c r="Y17" s="672"/>
    </row>
    <row r="18" spans="1:26" ht="15" customHeight="1" outlineLevel="1" x14ac:dyDescent="0.15">
      <c r="B18" s="984" t="s">
        <v>339</v>
      </c>
      <c r="C18" s="985" t="s">
        <v>1366</v>
      </c>
      <c r="D18" s="986">
        <v>1</v>
      </c>
      <c r="E18" s="987" t="str">
        <f>IF(C18="","",VLOOKUP(C18,CCBASE!$A$53:$D$73,4,FALSE))</f>
        <v>SECTION(S) OF CANOPY</v>
      </c>
      <c r="F18" s="988"/>
      <c r="G18" s="983"/>
      <c r="H18" s="989"/>
      <c r="I18" s="990"/>
      <c r="J18" s="991">
        <f>IF(C18="",0,VLOOKUP(C18,CCBASE!$A$53:$C$73,2,FALSE))</f>
        <v>50</v>
      </c>
      <c r="K18" s="992">
        <f>J18*D18</f>
        <v>50</v>
      </c>
      <c r="L18" s="993">
        <v>0.44</v>
      </c>
      <c r="M18" s="994">
        <f t="shared" si="0"/>
        <v>89.285714285714278</v>
      </c>
      <c r="N18" s="992">
        <f>M18*VLOOKUP($B$9,'Base Costs'!$A$32:$B$37,2,FALSE)</f>
        <v>89.285714285714278</v>
      </c>
      <c r="O18" s="995">
        <f t="shared" ref="O18" si="4">M18-K18</f>
        <v>39.285714285714278</v>
      </c>
      <c r="P18" s="996" t="s">
        <v>1416</v>
      </c>
      <c r="S18" s="693"/>
      <c r="Y18" s="672"/>
    </row>
    <row r="19" spans="1:26" ht="15" customHeight="1" outlineLevel="1" x14ac:dyDescent="0.15">
      <c r="A19" s="665">
        <v>289</v>
      </c>
      <c r="B19" s="730" t="s">
        <v>9</v>
      </c>
      <c r="C19" s="752" t="s">
        <v>565</v>
      </c>
      <c r="D19" s="756">
        <f>ROUNDUP($F14/1000,0)</f>
        <v>0</v>
      </c>
      <c r="E19" s="1107" t="s">
        <v>1059</v>
      </c>
      <c r="F19" s="1105"/>
      <c r="G19" s="754"/>
      <c r="H19" s="750"/>
      <c r="I19" s="755"/>
      <c r="J19" s="735">
        <f>IF(D19=0,0,VLOOKUP(C19,'Base Costs'!$A$19:$B$22,2,FALSE))</f>
        <v>0</v>
      </c>
      <c r="K19" s="736">
        <f>J19*D19</f>
        <v>0</v>
      </c>
      <c r="L19" s="737">
        <v>0.44</v>
      </c>
      <c r="M19" s="738">
        <f t="shared" si="0"/>
        <v>0</v>
      </c>
      <c r="N19" s="736">
        <f>M19*VLOOKUP($B$9,'Base Costs'!$A$32:$B$37,2,FALSE)</f>
        <v>0</v>
      </c>
      <c r="O19" s="739">
        <f>M19-K19</f>
        <v>0</v>
      </c>
      <c r="S19" s="693"/>
      <c r="Y19" s="672"/>
    </row>
    <row r="20" spans="1:26" ht="15" customHeight="1" outlineLevel="1" x14ac:dyDescent="0.15">
      <c r="A20" s="665">
        <v>242</v>
      </c>
      <c r="B20" s="730" t="s">
        <v>44</v>
      </c>
      <c r="C20" s="752"/>
      <c r="D20" s="741" t="s">
        <v>335</v>
      </c>
      <c r="E20" s="749" t="s">
        <v>718</v>
      </c>
      <c r="F20" s="748"/>
      <c r="G20" s="749"/>
      <c r="H20" s="750"/>
      <c r="I20" s="755"/>
      <c r="J20" s="735">
        <f>IF(C20=0,0,'Base Costs'!$B$26)</f>
        <v>0</v>
      </c>
      <c r="K20" s="736">
        <f>J20*C20</f>
        <v>0</v>
      </c>
      <c r="L20" s="737">
        <v>0.44</v>
      </c>
      <c r="M20" s="738">
        <f t="shared" si="0"/>
        <v>0</v>
      </c>
      <c r="N20" s="736">
        <f>M20*VLOOKUP($B$9,'Base Costs'!$A$32:$B$37,2,FALSE)</f>
        <v>0</v>
      </c>
      <c r="O20" s="739">
        <f t="shared" si="1"/>
        <v>0</v>
      </c>
      <c r="S20" s="693"/>
      <c r="Y20" s="672"/>
    </row>
    <row r="21" spans="1:26" ht="15" customHeight="1" outlineLevel="1" x14ac:dyDescent="0.15">
      <c r="A21" s="665">
        <v>220</v>
      </c>
      <c r="B21" s="730" t="s">
        <v>43</v>
      </c>
      <c r="C21" s="752"/>
      <c r="D21" s="741" t="s">
        <v>336</v>
      </c>
      <c r="E21" s="748"/>
      <c r="F21" s="748"/>
      <c r="G21" s="757" t="str">
        <f>IF(ISNUMBER(SEARCH("KSA",$D22)),"MAX. EXTRACT (m³/s)", "")</f>
        <v/>
      </c>
      <c r="H21" s="1102" t="str">
        <f>IF(ISNUMBER(SEARCH("MUAP",$D14)),"MAX.  SUPPLY (m³/s)",IF(ISNUMBER(SEARCH("SPECIAL",$D14)),"MAX.  SUPPLY (m³/s)",(IF(ISNUMBER(SEARCH("F",$D14)),"MAX.  SUPPLY (m³/s)",""))))</f>
        <v/>
      </c>
      <c r="I21" s="1102"/>
      <c r="J21" s="735">
        <f>IF(C21=0,0,'Base Costs'!$B$29)</f>
        <v>0</v>
      </c>
      <c r="K21" s="736">
        <f>J21*C21</f>
        <v>0</v>
      </c>
      <c r="L21" s="737">
        <v>0.44</v>
      </c>
      <c r="M21" s="738">
        <f t="shared" si="0"/>
        <v>0</v>
      </c>
      <c r="N21" s="736">
        <f>M21*VLOOKUP($B$9,'Base Costs'!$A$32:$B$37,2,FALSE)</f>
        <v>0</v>
      </c>
      <c r="O21" s="739">
        <f t="shared" si="1"/>
        <v>0</v>
      </c>
      <c r="S21" s="693"/>
      <c r="Y21" s="672"/>
    </row>
    <row r="22" spans="1:26" ht="15" customHeight="1" outlineLevel="1" x14ac:dyDescent="0.15">
      <c r="B22" s="730" t="s">
        <v>3</v>
      </c>
      <c r="C22" s="740">
        <f>IF(ISNUMBER(SEARCH("CMW",D14)),1,IF(F12=0,0,(ROUNDDOWN(((((F14-(100+(50*H12))))/H14)/500),0)*H12)))</f>
        <v>0</v>
      </c>
      <c r="D22" s="741" t="str">
        <f>VLOOKUP(D14,'Base Costs'!$A$39:$B$58,2,FALSE)</f>
        <v>FILTER TYPE</v>
      </c>
      <c r="E22" s="758" t="str">
        <f>IF(C22=0,0,IF(D22="KSA",ROUND(I14/C22,3),""))&amp; "  m³/s per filter"</f>
        <v>0  m³/s per filter</v>
      </c>
      <c r="F22" s="758" t="str">
        <f>IF(C22=0," Pa",ROUND((((I14*3600)/(C22*I11))^2),1)+20&amp; " Pa")</f>
        <v xml:space="preserve"> Pa</v>
      </c>
      <c r="G22" s="759" t="str">
        <f>IF(ISNUMBER(SEARCH("KSA",$D22)),$C22*0.25, "")</f>
        <v/>
      </c>
      <c r="H22" s="1103" t="str">
        <f>IF(ISNUMBER(SEARCH("MUAP",$D14)),0.225*($F14/1000),IF(ISNUMBER(SEARCH("SPECIAL",$D14)),0.225*($F14/1000),(IF(ISNUMBER(SEARCH("F",$D14)),0.225*($F14/1000),""))))</f>
        <v/>
      </c>
      <c r="I22" s="1103"/>
      <c r="J22" s="735">
        <f>IF(ISNA(D22),0,(VLOOKUP(D22,'Base Costs'!$Q$4:$R$11,2,FALSE)))</f>
        <v>0</v>
      </c>
      <c r="K22" s="736">
        <f>IF(ISNA(D22),0,IF(D22="MX",J22*1,J22*C22))</f>
        <v>0</v>
      </c>
      <c r="L22" s="737">
        <v>0.44</v>
      </c>
      <c r="M22" s="738">
        <f t="shared" si="0"/>
        <v>0</v>
      </c>
      <c r="N22" s="736">
        <f>M22*VLOOKUP($B$9,'Base Costs'!$A$32:$B$37,2,FALSE)</f>
        <v>0</v>
      </c>
      <c r="O22" s="739">
        <f t="shared" si="1"/>
        <v>0</v>
      </c>
      <c r="S22" s="693"/>
      <c r="Y22" s="672"/>
    </row>
    <row r="23" spans="1:26" ht="15" customHeight="1" outlineLevel="1" x14ac:dyDescent="0.15">
      <c r="B23" s="269" t="s">
        <v>1351</v>
      </c>
      <c r="C23" s="740">
        <v>0</v>
      </c>
      <c r="D23" s="856" t="str">
        <f>VLOOKUP(D14,'Base Costs'!$A$39:$C$58,3,FALSE)</f>
        <v>PSU</v>
      </c>
      <c r="E23" s="758" t="str">
        <f>IF(C23=0,0,IF(D23="PSU",ROUND(I14/C23,3),""))&amp; " m³/s per filter"</f>
        <v>0 m³/s per filter</v>
      </c>
      <c r="F23" s="758" t="str">
        <f>IF(C23=0," Pa",ROUND((((I14*3600)/(C23*I11))^2),1)+20&amp; " Pa")</f>
        <v xml:space="preserve"> Pa</v>
      </c>
      <c r="G23" s="759" t="str">
        <f>IF(ISNUMBER(SEARCH("KSA",$D23)),$C23*0.25, "")</f>
        <v/>
      </c>
      <c r="H23" s="1103" t="str">
        <f>IF(ISNUMBER(SEARCH("MUAP",$D14)),0.225*($F14/1000),IF(ISNUMBER(SEARCH("SPECIAL",$D14)),0.225*($F14/1000),(IF(ISNUMBER(SEARCH("F",$D14)),0.225*($F14/1000),""))))</f>
        <v/>
      </c>
      <c r="I23" s="1103"/>
      <c r="J23" s="735">
        <f>IF(ISNA(D23),0,(VLOOKUP(D23,'Base Costs'!$Q$4:$R$14,2,FALSE)))</f>
        <v>112.678</v>
      </c>
      <c r="K23" s="736">
        <f>IF(ISNA(D23),0,IF(D23="MX",J23*1,J23*C23))</f>
        <v>0</v>
      </c>
      <c r="L23" s="737">
        <v>0.44</v>
      </c>
      <c r="M23" s="738">
        <f t="shared" si="0"/>
        <v>0</v>
      </c>
      <c r="N23" s="736">
        <f>M23*VLOOKUP($B$9,'Base Costs'!$A$32:$B$37,2,FALSE)</f>
        <v>0</v>
      </c>
      <c r="O23" s="739">
        <f t="shared" si="1"/>
        <v>0</v>
      </c>
      <c r="S23" s="693"/>
      <c r="Y23" s="672"/>
    </row>
    <row r="24" spans="1:26" ht="15" customHeight="1" outlineLevel="1" x14ac:dyDescent="0.15">
      <c r="A24" s="665">
        <v>107</v>
      </c>
      <c r="B24" s="760" t="str">
        <f>IF(ISNUMBER(SEARCH("UV",D14)),"UV-C COMPONENTS",IF(ISNUMBER(SEARCH("CMW",D14)),"WATERWASH COMPONENTS",""))</f>
        <v/>
      </c>
      <c r="C24" s="761" t="str">
        <f>IF(H12=0,"UVR",IF(I14=0,"UVR",IF(I24&gt;0,("UVR")&amp;(INDEX('Base Costs'!$AH$5:$AI$10,(MATCH((I14/H12),'Base Costs'!$AI$5:$AI$10,-1)),1))&amp;("-")&amp;(H12),"UVR")))</f>
        <v>UVR</v>
      </c>
      <c r="D24" s="762" t="str">
        <f>VLOOKUP(C24,'Base Costs'!$Z$4:$AF$77,7,FALSE)&amp;" m³/s"</f>
        <v xml:space="preserve"> m³/s</v>
      </c>
      <c r="E24" s="763" t="str">
        <f>IF(ISNUMBER(SEARCH("L",C24)),"LONG RACK IN SECTION","SHORTRACK")</f>
        <v>SHORTRACK</v>
      </c>
      <c r="F24" s="764" t="str">
        <f>IF(ISNUMBER(SEARCH("L",C24)),ROUND(F14/H14,1)&amp;" mm","")</f>
        <v/>
      </c>
      <c r="G24" s="754"/>
      <c r="H24" s="754"/>
      <c r="I24" s="751">
        <f>IF(ISNUMBER(SEARCH("UV",D14)),1, 0)</f>
        <v>0</v>
      </c>
      <c r="J24" s="735">
        <f>IF(ISNA(C24),0,VLOOKUP(C24,'Base Costs'!$Z$4:$AF$77,2,FALSE))</f>
        <v>0</v>
      </c>
      <c r="K24" s="736">
        <f t="shared" si="2"/>
        <v>0</v>
      </c>
      <c r="L24" s="737">
        <v>0.44</v>
      </c>
      <c r="M24" s="738">
        <f t="shared" si="0"/>
        <v>0</v>
      </c>
      <c r="N24" s="736">
        <f>M24*VLOOKUP($B$9,'Base Costs'!$A$32:$B$37,2,FALSE)</f>
        <v>0</v>
      </c>
      <c r="O24" s="739">
        <f t="shared" si="1"/>
        <v>0</v>
      </c>
      <c r="R24" s="932"/>
      <c r="S24" s="693"/>
      <c r="Y24" s="672"/>
    </row>
    <row r="25" spans="1:26" ht="15" customHeight="1" outlineLevel="1" x14ac:dyDescent="0.15">
      <c r="B25" s="730" t="str">
        <f>IF(ISNUMBER(SEARCH("UV",D14)),"UV-C 2ND FILTER",IF(ISNUMBER(SEARCH("CMW",D14)),"CONTROL PANEL",""))</f>
        <v/>
      </c>
      <c r="C25" s="758" t="s">
        <v>588</v>
      </c>
      <c r="D25" s="760" t="str">
        <f>IF(ISNUMBER(SEARCH("CP1S",$C25)),"Up to 12m of canopy","")</f>
        <v/>
      </c>
      <c r="E25" s="760" t="str">
        <f>IF(ISNUMBER(SEARCH("CMW",$D14)),"CWS REQUIREMENT @ 2Bar","")</f>
        <v/>
      </c>
      <c r="F25" s="765" t="str">
        <f>IF(ISNUMBER(SEARCH("CMW",$D14)),$F14/1000*0.02&amp;" L/S","")</f>
        <v/>
      </c>
      <c r="G25" s="32"/>
      <c r="H25" s="750"/>
      <c r="I25" s="751">
        <f>C22</f>
        <v>0</v>
      </c>
      <c r="J25" s="735">
        <f>IF(ISNUMBER(SEARCH("CMW",D14)),VLOOKUP(C25,CCBASE!$A$81:$B$85,2,FALSE),(IF(I24&gt;0,'Base Costs'!$R$7,0)))</f>
        <v>0</v>
      </c>
      <c r="K25" s="736">
        <f>J25*C22</f>
        <v>0</v>
      </c>
      <c r="L25" s="737">
        <v>0.44</v>
      </c>
      <c r="M25" s="738">
        <f t="shared" si="0"/>
        <v>0</v>
      </c>
      <c r="N25" s="736">
        <f>M25*VLOOKUP($B$9,'Base Costs'!$A$32:$B$37,2,FALSE)</f>
        <v>0</v>
      </c>
      <c r="O25" s="739">
        <f t="shared" si="1"/>
        <v>0</v>
      </c>
      <c r="P25" s="840"/>
      <c r="S25" s="693"/>
      <c r="Y25" s="672"/>
    </row>
    <row r="26" spans="1:26" ht="15" customHeight="1" outlineLevel="1" x14ac:dyDescent="0.15">
      <c r="A26" s="665">
        <v>285</v>
      </c>
      <c r="B26" s="730" t="str">
        <f>IF(ISNUMBER(SEARCH("UV",D14)),"UV-C WORKSHOP WIRING",IF(ISNUMBER(SEARCH("CMW",D14)),"W/W PODS",""))</f>
        <v/>
      </c>
      <c r="C26" s="758" t="s">
        <v>714</v>
      </c>
      <c r="D26" s="758">
        <v>0</v>
      </c>
      <c r="E26" s="760" t="str">
        <f>IF(ISNUMBER(SEARCH("CMW",$D14)),"HWS REQUIREMENT @ 60°C ","")</f>
        <v/>
      </c>
      <c r="F26" s="766" t="str">
        <f>IF(ISNUMBER(SEARCH("CMW",$D14)),$F14/1000*0.103&amp;" L/S","")</f>
        <v/>
      </c>
      <c r="G26" s="754"/>
      <c r="H26" s="750"/>
      <c r="I26" s="751">
        <f>IF(I24&gt;0,H12,0)</f>
        <v>0</v>
      </c>
      <c r="J26" s="735">
        <f>IF(ISNUMBER(SEARCH("CMW",D14)),VLOOKUP(C26,'Base Costs'!$Q$35:$R$45,2,FALSE),IF(I26=0,0,36*1.03))</f>
        <v>0</v>
      </c>
      <c r="K26" s="736">
        <f>IF(ISNUMBER(SEARCH("CMW",D14)),J26*D26,J26*H12)</f>
        <v>0</v>
      </c>
      <c r="L26" s="737">
        <v>0.44</v>
      </c>
      <c r="M26" s="738">
        <f t="shared" si="0"/>
        <v>0</v>
      </c>
      <c r="N26" s="736">
        <f>M26*VLOOKUP($B$9,'Base Costs'!$A$32:$B$37,2,FALSE)</f>
        <v>0</v>
      </c>
      <c r="O26" s="739">
        <f t="shared" si="1"/>
        <v>0</v>
      </c>
      <c r="S26" s="693"/>
      <c r="Y26" s="672"/>
    </row>
    <row r="27" spans="1:26" ht="15" customHeight="1" outlineLevel="1" x14ac:dyDescent="0.15">
      <c r="A27" s="665">
        <v>286</v>
      </c>
      <c r="B27" s="730" t="str">
        <f>IF(ISNUMBER(SEARCH("CMW",$D14)),"CWS/HWS PIPEWORK UP TO 5M",IF(ISNUMBER(SEARCH("UV",$D14)),"MU5 INTERFACE", ""))</f>
        <v/>
      </c>
      <c r="C27" s="758">
        <v>1</v>
      </c>
      <c r="D27" s="767"/>
      <c r="E27" s="760" t="str">
        <f>IF(ISNUMBER(SEARCH("CMW",$D14)),"HW STORAGE 3m wash","")</f>
        <v/>
      </c>
      <c r="F27" s="765" t="str">
        <f>IF(ISNUMBER(SEARCH("CMW",$D14)),($F14/1000)*0.103*180&amp;" L","")</f>
        <v/>
      </c>
      <c r="G27" s="749"/>
      <c r="H27" s="750"/>
      <c r="I27" s="751">
        <f>IF(I24=0,0,1)</f>
        <v>0</v>
      </c>
      <c r="J27" s="735">
        <f>IF(B27="CWS/HWS PIPEWORK UP TO 5M",CCBASE!$B$65,IF(I27=0,0,100*1.44))</f>
        <v>0</v>
      </c>
      <c r="K27" s="736">
        <f>J27*C27</f>
        <v>0</v>
      </c>
      <c r="L27" s="737">
        <v>0.44</v>
      </c>
      <c r="M27" s="738">
        <f t="shared" si="0"/>
        <v>0</v>
      </c>
      <c r="N27" s="736">
        <f>M27*VLOOKUP($B$9,'Base Costs'!$A$32:$B$37,2,FALSE)</f>
        <v>0</v>
      </c>
      <c r="O27" s="739">
        <f t="shared" si="1"/>
        <v>0</v>
      </c>
      <c r="S27" s="693"/>
      <c r="Y27" s="672"/>
    </row>
    <row r="28" spans="1:26" s="673" customFormat="1" ht="15" customHeight="1" x14ac:dyDescent="0.15">
      <c r="A28" s="665"/>
      <c r="B28" s="713"/>
      <c r="C28" s="714"/>
      <c r="D28" s="714"/>
      <c r="E28" s="714"/>
      <c r="F28" s="714"/>
      <c r="G28" s="715" t="s">
        <v>347</v>
      </c>
      <c r="H28" s="714"/>
      <c r="I28" s="715">
        <f>IF(ISNUMBER(SEARCH("UV",D31)),49.7,71.75)</f>
        <v>71.75</v>
      </c>
      <c r="J28" s="716"/>
      <c r="K28" s="713"/>
      <c r="L28" s="717"/>
      <c r="M28" s="718"/>
      <c r="N28" s="716"/>
      <c r="O28" s="685"/>
      <c r="P28" s="672"/>
      <c r="Q28" s="672"/>
      <c r="R28" s="672"/>
      <c r="S28" s="712"/>
      <c r="T28" s="672"/>
      <c r="X28" s="672"/>
      <c r="Y28" s="672"/>
      <c r="Z28" s="672"/>
    </row>
    <row r="29" spans="1:26" s="673" customFormat="1" ht="15" customHeight="1" x14ac:dyDescent="0.15">
      <c r="A29" s="665"/>
      <c r="B29" s="241" t="s">
        <v>604</v>
      </c>
      <c r="C29" s="719">
        <f>IF(H29&lt;1,0,(((VLOOKUP(G29,CC!$D$2:$F$670,3,FALSE))*H29)+IF(ISNUMBER(SEARCH("CMW",D31)),VLOOKUP(C42,CCBASE!$A$81:$C$85,3,FALSE),0)+(VLOOKUP(C34,CCBASE!$A$53:$C$73,3,FALSE)*D34)+(VLOOKUP(C35,CCBASE!$A$53:$C$73,3,FALSE)*D35))&amp;" HRS")</f>
        <v>0</v>
      </c>
      <c r="D29" s="720" t="str">
        <f>D31</f>
        <v>CANOPY TYPE</v>
      </c>
      <c r="E29" s="701">
        <f>CEILING(IF(C31="WALL",E31, (E31/2)),250)</f>
        <v>0</v>
      </c>
      <c r="F29" s="701">
        <f>IF(H29&lt;1,0,CEILING((F31-100)/H31,250))</f>
        <v>0</v>
      </c>
      <c r="G29" s="720" t="str">
        <f>D29&amp;F29&amp;E29</f>
        <v>CANOPY TYPE00</v>
      </c>
      <c r="H29" s="719">
        <f>IF(E31=0,0,IF(F31=0,0,(E31/(IF(C31="WALL",E31,(E31/2)))*H31)))</f>
        <v>0</v>
      </c>
      <c r="I29" s="719" t="str">
        <f>I31&amp;" m³/s"</f>
        <v xml:space="preserve"> m³/s</v>
      </c>
      <c r="J29" s="721"/>
      <c r="K29" s="722">
        <f>SUBTOTAL(9,K31:K44)</f>
        <v>0</v>
      </c>
      <c r="L29" s="703" t="str">
        <f>IF(K29=0,"-",O29/M29)</f>
        <v>-</v>
      </c>
      <c r="M29" s="722">
        <f>SUBTOTAL(9,M31:M44)</f>
        <v>0</v>
      </c>
      <c r="N29" s="704">
        <f>SUBTOTAL(9,N31:N44)</f>
        <v>0</v>
      </c>
      <c r="O29" s="722">
        <f>SUBTOTAL(9,O31:O44)</f>
        <v>0</v>
      </c>
      <c r="P29" s="672"/>
      <c r="Q29" s="672"/>
      <c r="R29" s="672"/>
      <c r="S29" s="712"/>
      <c r="T29" s="672"/>
      <c r="X29" s="672"/>
      <c r="Y29" s="672"/>
      <c r="Z29" s="672"/>
    </row>
    <row r="30" spans="1:26" ht="15" hidden="1" customHeight="1" outlineLevel="1" x14ac:dyDescent="0.15">
      <c r="B30" s="723"/>
      <c r="C30" s="724" t="s">
        <v>198</v>
      </c>
      <c r="D30" s="725" t="s">
        <v>255</v>
      </c>
      <c r="E30" s="724" t="s">
        <v>128</v>
      </c>
      <c r="F30" s="724" t="s">
        <v>129</v>
      </c>
      <c r="G30" s="724" t="s">
        <v>172</v>
      </c>
      <c r="H30" s="724" t="s">
        <v>197</v>
      </c>
      <c r="I30" s="725"/>
      <c r="J30" s="726"/>
      <c r="K30" s="727"/>
      <c r="L30" s="727"/>
      <c r="M30" s="728"/>
      <c r="N30" s="729"/>
      <c r="O30" s="711"/>
      <c r="S30" s="693"/>
      <c r="Y30" s="672"/>
    </row>
    <row r="31" spans="1:26" ht="15" hidden="1" customHeight="1" outlineLevel="1" x14ac:dyDescent="0.2">
      <c r="A31" s="665">
        <v>210</v>
      </c>
      <c r="B31" s="730" t="s">
        <v>182</v>
      </c>
      <c r="C31" s="731" t="s">
        <v>183</v>
      </c>
      <c r="D31" s="732" t="s">
        <v>130</v>
      </c>
      <c r="E31" s="733"/>
      <c r="F31" s="733"/>
      <c r="G31" s="733"/>
      <c r="H31" s="734"/>
      <c r="I31" s="733"/>
      <c r="J31" s="735">
        <f>IF(ISNA(C29),0,IF(F29&gt;3000,0,(IF(H29&lt;1,0,((VLOOKUP(G29,CC!$D$2:$E$670,2,FALSE))*H29)+((VLOOKUP(G29,CC!$D$2:$AD$670,17,FALSE)*(H29/H31)))))))</f>
        <v>0</v>
      </c>
      <c r="K31" s="736">
        <f>J31*1</f>
        <v>0</v>
      </c>
      <c r="L31" s="737">
        <v>0.44</v>
      </c>
      <c r="M31" s="738">
        <f t="shared" ref="M31:M44" si="5">K31/(1-L31)*(1+$C$9)</f>
        <v>0</v>
      </c>
      <c r="N31" s="736">
        <f>M31*VLOOKUP($B$9,'Base Costs'!$A$32:$B$37,2,FALSE)</f>
        <v>0</v>
      </c>
      <c r="O31" s="739">
        <f t="shared" ref="O31:O35" si="6">M31-K31</f>
        <v>0</v>
      </c>
      <c r="S31" s="693"/>
      <c r="Y31" s="672"/>
    </row>
    <row r="32" spans="1:26" ht="15" hidden="1" customHeight="1" outlineLevel="1" x14ac:dyDescent="0.15">
      <c r="A32" s="665">
        <v>104</v>
      </c>
      <c r="B32" s="730" t="s">
        <v>4</v>
      </c>
      <c r="C32" s="732" t="s">
        <v>185</v>
      </c>
      <c r="D32" s="740"/>
      <c r="E32" s="741"/>
      <c r="F32" s="742"/>
      <c r="G32" s="743"/>
      <c r="H32" s="667"/>
      <c r="I32" s="667"/>
      <c r="J32" s="735">
        <f>IF(ISNA(C29),0,IF(D32=0,0,IF(C32="FLO",VLOOKUP(E32,'Base Costs'!$M$4:$N$14,2,FALSE),IF(C32="LED STRIP",VLOOKUP(E32,'Base Costs'!$M$4:$N$14,2,FALSE),(VLOOKUP(C32,'Base Costs'!$M$4:$N$14,2,FALSE))))))</f>
        <v>0</v>
      </c>
      <c r="K32" s="736">
        <f>J32*D32</f>
        <v>0</v>
      </c>
      <c r="L32" s="737">
        <v>0.31</v>
      </c>
      <c r="M32" s="738">
        <f t="shared" si="5"/>
        <v>0</v>
      </c>
      <c r="N32" s="736">
        <f>M32*VLOOKUP($B$9,'Base Costs'!$A$32:$B$37,2,FALSE)</f>
        <v>0</v>
      </c>
      <c r="O32" s="739">
        <f t="shared" si="6"/>
        <v>0</v>
      </c>
      <c r="P32" s="744"/>
      <c r="S32" s="693"/>
      <c r="Y32" s="672"/>
    </row>
    <row r="33" spans="1:26" ht="15" hidden="1" customHeight="1" outlineLevel="1" x14ac:dyDescent="0.15">
      <c r="A33" s="665">
        <v>234</v>
      </c>
      <c r="B33" s="269" t="s">
        <v>839</v>
      </c>
      <c r="C33" s="745" t="s">
        <v>839</v>
      </c>
      <c r="D33" s="746"/>
      <c r="E33" s="747"/>
      <c r="F33" s="748"/>
      <c r="G33" s="749"/>
      <c r="H33" s="750"/>
      <c r="I33" s="751">
        <v>1</v>
      </c>
      <c r="J33" s="735">
        <f>VLOOKUP(C33,'Base Costs'!$U$4:$V$41,2,FALSE)</f>
        <v>0</v>
      </c>
      <c r="K33" s="736">
        <f t="shared" ref="K33" si="7">J33*1</f>
        <v>0</v>
      </c>
      <c r="L33" s="737">
        <v>0.35</v>
      </c>
      <c r="M33" s="738">
        <f t="shared" si="5"/>
        <v>0</v>
      </c>
      <c r="N33" s="736">
        <f>M33*VLOOKUP($B$9,'Base Costs'!$A$32:$B$37,2,FALSE)</f>
        <v>0</v>
      </c>
      <c r="O33" s="739">
        <f t="shared" si="6"/>
        <v>0</v>
      </c>
      <c r="S33" s="693"/>
      <c r="Y33" s="672"/>
    </row>
    <row r="34" spans="1:26" ht="15" hidden="1" customHeight="1" outlineLevel="1" x14ac:dyDescent="0.15">
      <c r="B34" s="730" t="s">
        <v>339</v>
      </c>
      <c r="C34" s="752" t="s">
        <v>342</v>
      </c>
      <c r="D34" s="734"/>
      <c r="E34" s="753" t="str">
        <f>IF(C34="","",VLOOKUP(C34,CCBASE!$A$53:$D$73,4,FALSE))</f>
        <v/>
      </c>
      <c r="F34" s="754"/>
      <c r="G34" s="749"/>
      <c r="H34" s="750"/>
      <c r="I34" s="755"/>
      <c r="J34" s="735">
        <f>IF(C34="",0,VLOOKUP(C34,CCBASE!$A$53:$C$73,2,FALSE))</f>
        <v>0</v>
      </c>
      <c r="K34" s="736">
        <f>J34*D34</f>
        <v>0</v>
      </c>
      <c r="L34" s="737">
        <v>0.44</v>
      </c>
      <c r="M34" s="738">
        <f t="shared" si="5"/>
        <v>0</v>
      </c>
      <c r="N34" s="736">
        <f>M34*VLOOKUP($B$9,'Base Costs'!$A$32:$B$37,2,FALSE)</f>
        <v>0</v>
      </c>
      <c r="O34" s="739">
        <f t="shared" si="6"/>
        <v>0</v>
      </c>
      <c r="S34" s="693"/>
      <c r="Y34" s="672"/>
    </row>
    <row r="35" spans="1:26" ht="15" hidden="1" customHeight="1" outlineLevel="1" x14ac:dyDescent="0.15">
      <c r="B35" s="984" t="s">
        <v>339</v>
      </c>
      <c r="C35" s="985" t="s">
        <v>1366</v>
      </c>
      <c r="D35" s="986"/>
      <c r="E35" s="1115"/>
      <c r="F35" s="1116"/>
      <c r="G35" s="983"/>
      <c r="H35" s="989"/>
      <c r="I35" s="990"/>
      <c r="J35" s="991">
        <f>IF(C35="",0,VLOOKUP(C35,CCBASE!$A$53:$C$73,2,FALSE))</f>
        <v>50</v>
      </c>
      <c r="K35" s="992">
        <f>J35*D35</f>
        <v>0</v>
      </c>
      <c r="L35" s="993">
        <v>0.44</v>
      </c>
      <c r="M35" s="994">
        <f t="shared" si="5"/>
        <v>0</v>
      </c>
      <c r="N35" s="992">
        <f>M35*VLOOKUP($B$9,'Base Costs'!$A$32:$B$37,2,FALSE)</f>
        <v>0</v>
      </c>
      <c r="O35" s="995">
        <f t="shared" si="6"/>
        <v>0</v>
      </c>
      <c r="P35" s="996" t="s">
        <v>1416</v>
      </c>
      <c r="S35" s="693"/>
      <c r="Y35" s="672"/>
    </row>
    <row r="36" spans="1:26" ht="15" hidden="1" customHeight="1" outlineLevel="1" x14ac:dyDescent="0.15">
      <c r="A36" s="665">
        <v>289</v>
      </c>
      <c r="B36" s="730" t="s">
        <v>9</v>
      </c>
      <c r="C36" s="752" t="s">
        <v>565</v>
      </c>
      <c r="D36" s="756">
        <f>ROUNDUP($F31/1000,0)</f>
        <v>0</v>
      </c>
      <c r="E36" s="1107" t="s">
        <v>1059</v>
      </c>
      <c r="F36" s="1105"/>
      <c r="G36" s="754"/>
      <c r="H36" s="750"/>
      <c r="I36" s="755"/>
      <c r="J36" s="735">
        <f>IF(D36=0,0,VLOOKUP(C36,'Base Costs'!$A$19:$B$22,2,FALSE))</f>
        <v>0</v>
      </c>
      <c r="K36" s="736">
        <f>J36*D36</f>
        <v>0</v>
      </c>
      <c r="L36" s="737">
        <v>0.44</v>
      </c>
      <c r="M36" s="738">
        <f t="shared" si="5"/>
        <v>0</v>
      </c>
      <c r="N36" s="736">
        <f>M36*VLOOKUP($B$9,'Base Costs'!$A$32:$B$37,2,FALSE)</f>
        <v>0</v>
      </c>
      <c r="O36" s="739">
        <f>M36-K36</f>
        <v>0</v>
      </c>
      <c r="S36" s="693"/>
      <c r="Y36" s="672"/>
    </row>
    <row r="37" spans="1:26" ht="15" hidden="1" customHeight="1" outlineLevel="1" x14ac:dyDescent="0.15">
      <c r="A37" s="665">
        <v>242</v>
      </c>
      <c r="B37" s="730" t="s">
        <v>44</v>
      </c>
      <c r="C37" s="752"/>
      <c r="D37" s="741" t="s">
        <v>335</v>
      </c>
      <c r="E37" s="749" t="s">
        <v>718</v>
      </c>
      <c r="F37" s="748"/>
      <c r="G37" s="749"/>
      <c r="H37" s="750"/>
      <c r="I37" s="755"/>
      <c r="J37" s="735">
        <f>IF(C37=0,0,'Base Costs'!$B$26)</f>
        <v>0</v>
      </c>
      <c r="K37" s="736">
        <f>J37*C37</f>
        <v>0</v>
      </c>
      <c r="L37" s="737">
        <v>0.44</v>
      </c>
      <c r="M37" s="738">
        <f t="shared" si="5"/>
        <v>0</v>
      </c>
      <c r="N37" s="736">
        <f>M37*VLOOKUP($B$9,'Base Costs'!$A$32:$B$37,2,FALSE)</f>
        <v>0</v>
      </c>
      <c r="O37" s="739">
        <f t="shared" ref="O37:O44" si="8">M37-K37</f>
        <v>0</v>
      </c>
      <c r="S37" s="693"/>
      <c r="Y37" s="672"/>
    </row>
    <row r="38" spans="1:26" ht="15" hidden="1" customHeight="1" outlineLevel="1" x14ac:dyDescent="0.15">
      <c r="A38" s="665">
        <v>220</v>
      </c>
      <c r="B38" s="730" t="s">
        <v>43</v>
      </c>
      <c r="C38" s="752"/>
      <c r="D38" s="741" t="s">
        <v>336</v>
      </c>
      <c r="E38" s="748"/>
      <c r="F38" s="748"/>
      <c r="G38" s="757" t="str">
        <f>IF(ISNUMBER(SEARCH("KSA",$D39)),"MAX. EXTRACT (m³/s)", "")</f>
        <v/>
      </c>
      <c r="H38" s="1102" t="str">
        <f>IF(ISNUMBER(SEARCH("MUAP",$D31)),"MAX.  SUPPLY (m³/s)",IF(ISNUMBER(SEARCH("SPECIAL",$D31)),"MAX.  SUPPLY (m³/s)",(IF(ISNUMBER(SEARCH("F",$D31)),"MAX.  SUPPLY (m³/s)",""))))</f>
        <v/>
      </c>
      <c r="I38" s="1102"/>
      <c r="J38" s="735">
        <f>IF(C38=0,0,'Base Costs'!$B$29)</f>
        <v>0</v>
      </c>
      <c r="K38" s="736">
        <f>J38*C38</f>
        <v>0</v>
      </c>
      <c r="L38" s="737">
        <v>0.44</v>
      </c>
      <c r="M38" s="738">
        <f t="shared" si="5"/>
        <v>0</v>
      </c>
      <c r="N38" s="736">
        <f>M38*VLOOKUP($B$9,'Base Costs'!$A$32:$B$37,2,FALSE)</f>
        <v>0</v>
      </c>
      <c r="O38" s="739">
        <f t="shared" si="8"/>
        <v>0</v>
      </c>
      <c r="S38" s="693"/>
      <c r="Y38" s="672"/>
    </row>
    <row r="39" spans="1:26" ht="15" hidden="1" customHeight="1" outlineLevel="1" x14ac:dyDescent="0.15">
      <c r="A39" s="665">
        <v>103</v>
      </c>
      <c r="B39" s="730" t="s">
        <v>3</v>
      </c>
      <c r="C39" s="740">
        <f>IF(ISNUMBER(SEARCH("CMW",D31)),1,IF(F29=0,0,(ROUNDDOWN(((((F31-(100+(50*H29))))/H31)/500),0)*H29)))</f>
        <v>0</v>
      </c>
      <c r="D39" s="741" t="str">
        <f>VLOOKUP(D31,'Base Costs'!$A$39:$B$58,2,FALSE)</f>
        <v>FILTER TYPE</v>
      </c>
      <c r="E39" s="758" t="str">
        <f>IF(C39=0,0,IF(D39="KSA",ROUND(I31/C39,3),""))&amp; "  m³/s per filter"</f>
        <v>0  m³/s per filter</v>
      </c>
      <c r="F39" s="758" t="str">
        <f>IF(C39=0," Pa",ROUND((((I31*3600)/(C39*I28))^2),1)+20&amp; " Pa")</f>
        <v xml:space="preserve"> Pa</v>
      </c>
      <c r="G39" s="759" t="str">
        <f>IF(ISNUMBER(SEARCH("KSA",$D39)),$C39*0.25, "")</f>
        <v/>
      </c>
      <c r="H39" s="1103" t="str">
        <f>IF(ISNUMBER(SEARCH("MUAP",$D31)),0.225*($F31/1000),IF(ISNUMBER(SEARCH("SPECIAL",$D31)),0.225*($F31/1000),(IF(ISNUMBER(SEARCH("F",$D31)),0.225*($F31/1000),""))))</f>
        <v/>
      </c>
      <c r="I39" s="1103"/>
      <c r="J39" s="735">
        <f>IF(ISNA(D39),0,(VLOOKUP(D39,'Base Costs'!$Q$4:$R$11,2,FALSE)))</f>
        <v>0</v>
      </c>
      <c r="K39" s="736">
        <f>IF(ISNA(D39),0,IF(D39="MX",J39*1,J39*C39))</f>
        <v>0</v>
      </c>
      <c r="L39" s="737">
        <v>0.44</v>
      </c>
      <c r="M39" s="738">
        <f t="shared" si="5"/>
        <v>0</v>
      </c>
      <c r="N39" s="736">
        <f>M39*VLOOKUP($B$9,'Base Costs'!$A$32:$B$37,2,FALSE)</f>
        <v>0</v>
      </c>
      <c r="O39" s="739">
        <f t="shared" si="8"/>
        <v>0</v>
      </c>
      <c r="S39" s="693"/>
      <c r="Y39" s="672"/>
    </row>
    <row r="40" spans="1:26" ht="15" hidden="1" customHeight="1" outlineLevel="1" x14ac:dyDescent="0.15">
      <c r="B40" s="269" t="s">
        <v>1351</v>
      </c>
      <c r="C40" s="740">
        <v>0</v>
      </c>
      <c r="D40" s="856" t="str">
        <f>VLOOKUP(D31,'Base Costs'!$A$39:$C$58,3,FALSE)</f>
        <v>PSU</v>
      </c>
      <c r="E40" s="758" t="str">
        <f>IF(C40=0,0,IF(D40="PSU",ROUND(I31/C40,3),""))&amp; " m³/s per filter"</f>
        <v>0 m³/s per filter</v>
      </c>
      <c r="F40" s="758" t="str">
        <f>IF(C40=0," Pa",ROUND((((I31*3600)/(C40*I28))^2),1)+20&amp; " Pa")</f>
        <v xml:space="preserve"> Pa</v>
      </c>
      <c r="G40" s="759" t="str">
        <f>IF(ISNUMBER(SEARCH("KSA",$D40)),$C40*0.25, "")</f>
        <v/>
      </c>
      <c r="H40" s="1103" t="str">
        <f>IF(ISNUMBER(SEARCH("MUAP",$D31)),0.225*($F31/1000),IF(ISNUMBER(SEARCH("SPECIAL",$D31)),0.225*($F31/1000),(IF(ISNUMBER(SEARCH("F",$D31)),0.225*($F31/1000),""))))</f>
        <v/>
      </c>
      <c r="I40" s="1103"/>
      <c r="J40" s="735">
        <f>IF(ISNA(D40),0,(VLOOKUP(D40,'Base Costs'!$Q$4:$R$13,2,FALSE)))</f>
        <v>112.678</v>
      </c>
      <c r="K40" s="736">
        <f>IF(ISNA(D40),0,IF(D40="MX",J40*1,J40*C40))</f>
        <v>0</v>
      </c>
      <c r="L40" s="737">
        <v>0.44</v>
      </c>
      <c r="M40" s="738">
        <f t="shared" si="5"/>
        <v>0</v>
      </c>
      <c r="N40" s="736">
        <f>M40*VLOOKUP($B$9,'Base Costs'!$A$32:$B$37,2,FALSE)</f>
        <v>0</v>
      </c>
      <c r="O40" s="739">
        <f t="shared" si="8"/>
        <v>0</v>
      </c>
      <c r="S40" s="693"/>
      <c r="Y40" s="672"/>
    </row>
    <row r="41" spans="1:26" ht="15" hidden="1" customHeight="1" outlineLevel="1" x14ac:dyDescent="0.15">
      <c r="A41" s="665">
        <v>107</v>
      </c>
      <c r="B41" s="760" t="str">
        <f>IF(ISNUMBER(SEARCH("UV",D31)),"UV-C COMPONENTS",IF(ISNUMBER(SEARCH("CMW",D31)),"WATERWASH COMPONENTS",""))</f>
        <v/>
      </c>
      <c r="C41" s="761" t="str">
        <f>IF(H29=0,"UVR",IF(I31=0,"UVR",IF(I41&gt;0,("UVR")&amp;(INDEX('Base Costs'!$AH$5:$AI$10,(MATCH((I31/H29),'Base Costs'!$AI$5:$AI$10,-1)),1))&amp;("-")&amp;(H29),"UVR")))</f>
        <v>UVR</v>
      </c>
      <c r="D41" s="769" t="str">
        <f>VLOOKUP(C41,'Base Costs'!$Z$4:$AF$77,7,FALSE)&amp;" m³/s"</f>
        <v xml:space="preserve"> m³/s</v>
      </c>
      <c r="E41" s="763" t="str">
        <f>IF(ISNUMBER(SEARCH("L",C41)),"LONG RACK IN SECTION","SHORTRACK")</f>
        <v>SHORTRACK</v>
      </c>
      <c r="F41" s="764" t="str">
        <f>IF(ISNUMBER(SEARCH("L",C41)),ROUND(F31/H31,1)&amp;" mm","")</f>
        <v/>
      </c>
      <c r="G41" s="754"/>
      <c r="H41" s="754"/>
      <c r="I41" s="751">
        <f>IF(ISNUMBER(SEARCH("UV",D31)),1, 0)</f>
        <v>0</v>
      </c>
      <c r="J41" s="735">
        <f>IF(ISNA(C41),0,VLOOKUP(C41,'Base Costs'!$Z$4:$AF$77,2,FALSE))</f>
        <v>0</v>
      </c>
      <c r="K41" s="736">
        <f t="shared" ref="K41" si="9">J41*1</f>
        <v>0</v>
      </c>
      <c r="L41" s="737">
        <v>0.44</v>
      </c>
      <c r="M41" s="738">
        <f t="shared" si="5"/>
        <v>0</v>
      </c>
      <c r="N41" s="736">
        <f>M41*VLOOKUP($B$9,'Base Costs'!$A$32:$B$37,2,FALSE)</f>
        <v>0</v>
      </c>
      <c r="O41" s="739">
        <f t="shared" si="8"/>
        <v>0</v>
      </c>
      <c r="S41" s="693"/>
      <c r="Y41" s="672"/>
    </row>
    <row r="42" spans="1:26" ht="15" hidden="1" customHeight="1" outlineLevel="1" x14ac:dyDescent="0.15">
      <c r="B42" s="730" t="str">
        <f>IF(ISNUMBER(SEARCH("UV",D31)),"UV-C 2ND FILTER",IF(ISNUMBER(SEARCH("CMW",D31)),"CONTROL PANEL",""))</f>
        <v/>
      </c>
      <c r="C42" s="758" t="s">
        <v>588</v>
      </c>
      <c r="D42" s="760" t="str">
        <f>IF(ISNUMBER(SEARCH("CP1S",$C42)),"Up to 12m of canopy","")</f>
        <v/>
      </c>
      <c r="E42" s="760" t="str">
        <f>IF(ISNUMBER(SEARCH("CMW",$D31)),"CWS REQUIREMENT @ 2Bar","")</f>
        <v/>
      </c>
      <c r="F42" s="765" t="str">
        <f>IF(ISNUMBER(SEARCH("CMW",$D31)),$F31/1000*0.02&amp;" L/S","")</f>
        <v/>
      </c>
      <c r="G42" s="754"/>
      <c r="H42" s="750"/>
      <c r="I42" s="751">
        <f>C39</f>
        <v>0</v>
      </c>
      <c r="J42" s="735">
        <f>IF(ISNUMBER(SEARCH("CMW",D31)),VLOOKUP(C42,CCBASE!$A$81:$B$85,2,FALSE),(IF(I41&gt;0,'Base Costs'!$R$7,0)))</f>
        <v>0</v>
      </c>
      <c r="K42" s="736">
        <f>J42*C39</f>
        <v>0</v>
      </c>
      <c r="L42" s="737">
        <v>0.44</v>
      </c>
      <c r="M42" s="738">
        <f t="shared" si="5"/>
        <v>0</v>
      </c>
      <c r="N42" s="736">
        <f>M42*VLOOKUP($B$9,'Base Costs'!$A$32:$B$37,2,FALSE)</f>
        <v>0</v>
      </c>
      <c r="O42" s="739">
        <f t="shared" si="8"/>
        <v>0</v>
      </c>
      <c r="P42" s="840"/>
      <c r="S42" s="693"/>
      <c r="Y42" s="672"/>
    </row>
    <row r="43" spans="1:26" ht="15" hidden="1" customHeight="1" outlineLevel="1" x14ac:dyDescent="0.15">
      <c r="A43" s="665">
        <v>285</v>
      </c>
      <c r="B43" s="730" t="str">
        <f>IF(ISNUMBER(SEARCH("UV",D31)),"UV-C WORKSHOP WIRING",IF(ISNUMBER(SEARCH("CMW",D31)),"W/W PODS",""))</f>
        <v/>
      </c>
      <c r="C43" s="758" t="s">
        <v>714</v>
      </c>
      <c r="D43" s="758">
        <v>0</v>
      </c>
      <c r="E43" s="760" t="str">
        <f>IF(ISNUMBER(SEARCH("CMW",$D31)),"HWS REQUIREMENT @ 60°C ","")</f>
        <v/>
      </c>
      <c r="F43" s="766" t="str">
        <f>IF(ISNUMBER(SEARCH("CMW",$D31)),$F31/1000*0.103&amp;" L/S","")</f>
        <v/>
      </c>
      <c r="G43" s="754"/>
      <c r="H43" s="750"/>
      <c r="I43" s="751">
        <f>IF(I41&gt;0,H29,0)</f>
        <v>0</v>
      </c>
      <c r="J43" s="735">
        <f>IF(ISNUMBER(SEARCH("CMW",D31)),VLOOKUP(C43,'Base Costs'!$Q$35:$R$45,2,FALSE),IF(I43=0,0,36*1.03))</f>
        <v>0</v>
      </c>
      <c r="K43" s="736">
        <f>IF(ISNUMBER(SEARCH("CMW",D31)),J43*D43,J43*H29)</f>
        <v>0</v>
      </c>
      <c r="L43" s="737">
        <v>0.44</v>
      </c>
      <c r="M43" s="738">
        <f t="shared" si="5"/>
        <v>0</v>
      </c>
      <c r="N43" s="736">
        <f>M43*VLOOKUP($B$9,'Base Costs'!$A$32:$B$37,2,FALSE)</f>
        <v>0</v>
      </c>
      <c r="O43" s="739">
        <f t="shared" si="8"/>
        <v>0</v>
      </c>
      <c r="S43" s="693"/>
      <c r="Y43" s="672"/>
    </row>
    <row r="44" spans="1:26" ht="15" hidden="1" customHeight="1" outlineLevel="1" x14ac:dyDescent="0.15">
      <c r="A44" s="665">
        <v>286</v>
      </c>
      <c r="B44" s="730" t="str">
        <f>IF(ISNUMBER(SEARCH("CMW",$D31)),"CWS/HWS PIPEWORK UP TO 5M",IF(ISNUMBER(SEARCH("UV",$D31)),"MU5 INTERFACE", ""))</f>
        <v/>
      </c>
      <c r="C44" s="758">
        <v>1</v>
      </c>
      <c r="D44" s="767"/>
      <c r="E44" s="760" t="str">
        <f>IF(ISNUMBER(SEARCH("CMW",$D31)),"HW STORAGE 3m wash","")</f>
        <v/>
      </c>
      <c r="F44" s="765" t="str">
        <f>IF(ISNUMBER(SEARCH("CMW",$D31)),($F31/1000)*0.103*180&amp;" L","")</f>
        <v/>
      </c>
      <c r="G44" s="749"/>
      <c r="H44" s="750"/>
      <c r="I44" s="751">
        <f>IF(I41=0,0,1)</f>
        <v>0</v>
      </c>
      <c r="J44" s="735">
        <f>IF(B44="CWS/HWS PIPEWORK UP TO 5M",CCBASE!$B$65,IF(I44=0,0,100*1.44))</f>
        <v>0</v>
      </c>
      <c r="K44" s="736">
        <f>J44*C44</f>
        <v>0</v>
      </c>
      <c r="L44" s="737">
        <v>0.44</v>
      </c>
      <c r="M44" s="738">
        <f t="shared" si="5"/>
        <v>0</v>
      </c>
      <c r="N44" s="736">
        <f>M44*VLOOKUP($B$9,'Base Costs'!$A$32:$B$37,2,FALSE)</f>
        <v>0</v>
      </c>
      <c r="O44" s="739">
        <f t="shared" si="8"/>
        <v>0</v>
      </c>
      <c r="S44" s="693"/>
      <c r="Y44" s="672"/>
    </row>
    <row r="45" spans="1:26" ht="15" customHeight="1" collapsed="1" x14ac:dyDescent="0.15">
      <c r="B45" s="713"/>
      <c r="C45" s="770"/>
      <c r="E45" s="770"/>
      <c r="F45" s="770"/>
      <c r="G45" s="715" t="s">
        <v>347</v>
      </c>
      <c r="H45" s="714"/>
      <c r="I45" s="715">
        <f>IF(ISNUMBER(SEARCH("UV",D48)),49.7,71.75)</f>
        <v>71.75</v>
      </c>
      <c r="J45" s="716"/>
      <c r="K45" s="771"/>
      <c r="L45" s="772"/>
      <c r="M45" s="771"/>
      <c r="N45" s="771"/>
      <c r="S45" s="693"/>
      <c r="Y45" s="672"/>
    </row>
    <row r="46" spans="1:26" s="673" customFormat="1" ht="15" customHeight="1" x14ac:dyDescent="0.15">
      <c r="A46" s="665"/>
      <c r="B46" s="241" t="s">
        <v>604</v>
      </c>
      <c r="C46" s="719">
        <f>IF(H46&lt;1,0,(((VLOOKUP(G46,CC!$D$2:$F$670,3,FALSE))*H46)+IF(ISNUMBER(SEARCH("CMW",D48)),VLOOKUP(C59,CCBASE!$A$81:$C$85,3,FALSE),0)+(VLOOKUP(C51,CCBASE!$A$53:$C$73,3,FALSE)*D51)+(VLOOKUP(C52,CCBASE!$A$53:$C$73,3,FALSE)*D52))&amp;" HRS")</f>
        <v>0</v>
      </c>
      <c r="D46" s="720" t="str">
        <f>D48</f>
        <v>CANOPY TYPE</v>
      </c>
      <c r="E46" s="701">
        <f>CEILING(IF(C48="WALL",E48, (E48/2)),250)</f>
        <v>0</v>
      </c>
      <c r="F46" s="701">
        <f>IF(H46&lt;1,0,CEILING((F48-100)/H48,250))</f>
        <v>0</v>
      </c>
      <c r="G46" s="720" t="str">
        <f>D46&amp;F46&amp;E46</f>
        <v>CANOPY TYPE00</v>
      </c>
      <c r="H46" s="719">
        <f>IF(E48=0,0,IF(F48=0,0,(E48/(IF(C48="WALL",E48,(E48/2)))*H48)))</f>
        <v>0</v>
      </c>
      <c r="I46" s="719" t="str">
        <f>I48&amp;" m³/s"</f>
        <v xml:space="preserve"> m³/s</v>
      </c>
      <c r="J46" s="721"/>
      <c r="K46" s="722">
        <f>SUBTOTAL(9,K48:K61)</f>
        <v>0</v>
      </c>
      <c r="L46" s="703" t="str">
        <f>IF(K46=0,"-",O46/M46)</f>
        <v>-</v>
      </c>
      <c r="M46" s="722">
        <f>SUBTOTAL(9,M48:M61)</f>
        <v>0</v>
      </c>
      <c r="N46" s="704">
        <f>SUBTOTAL(9,N48:N61)</f>
        <v>0</v>
      </c>
      <c r="O46" s="722">
        <f>SUBTOTAL(9,O48:O61)</f>
        <v>0</v>
      </c>
      <c r="P46" s="672"/>
      <c r="Q46" s="672"/>
      <c r="R46" s="672"/>
      <c r="S46" s="712"/>
      <c r="T46" s="672"/>
      <c r="X46" s="672"/>
      <c r="Y46" s="672"/>
      <c r="Z46" s="672"/>
    </row>
    <row r="47" spans="1:26" ht="15" hidden="1" customHeight="1" outlineLevel="1" x14ac:dyDescent="0.15">
      <c r="B47" s="723"/>
      <c r="C47" s="724" t="s">
        <v>198</v>
      </c>
      <c r="D47" s="725" t="s">
        <v>255</v>
      </c>
      <c r="E47" s="724" t="s">
        <v>128</v>
      </c>
      <c r="F47" s="724" t="s">
        <v>129</v>
      </c>
      <c r="G47" s="724" t="s">
        <v>172</v>
      </c>
      <c r="H47" s="724" t="s">
        <v>197</v>
      </c>
      <c r="I47" s="725" t="s">
        <v>256</v>
      </c>
      <c r="J47" s="726"/>
      <c r="K47" s="727"/>
      <c r="L47" s="727"/>
      <c r="M47" s="728"/>
      <c r="N47" s="729"/>
      <c r="O47" s="711"/>
      <c r="S47" s="693"/>
      <c r="Y47" s="672"/>
    </row>
    <row r="48" spans="1:26" ht="15" hidden="1" customHeight="1" outlineLevel="1" x14ac:dyDescent="0.2">
      <c r="A48" s="665">
        <v>210</v>
      </c>
      <c r="B48" s="730" t="s">
        <v>182</v>
      </c>
      <c r="C48" s="731" t="s">
        <v>183</v>
      </c>
      <c r="D48" s="732" t="s">
        <v>130</v>
      </c>
      <c r="E48" s="733"/>
      <c r="F48" s="733"/>
      <c r="G48" s="733"/>
      <c r="H48" s="734"/>
      <c r="I48" s="733"/>
      <c r="J48" s="735">
        <f>IF(ISNA(C46),0,IF(F46&gt;3000,0,(IF(H46&lt;1,0,((VLOOKUP(G46,CC!$D$2:$E$670,2,FALSE))*H46)+((VLOOKUP(G46,CC!$D$2:$AD$670,17,FALSE)*(H46/H48)))))))</f>
        <v>0</v>
      </c>
      <c r="K48" s="736">
        <f>J48*1</f>
        <v>0</v>
      </c>
      <c r="L48" s="737">
        <v>0.44</v>
      </c>
      <c r="M48" s="738">
        <f t="shared" ref="M48:M61" si="10">K48/(1-L48)*(1+$C$9)</f>
        <v>0</v>
      </c>
      <c r="N48" s="736">
        <f>M48*VLOOKUP($B$9,'Base Costs'!$A$32:$B$37,2,FALSE)</f>
        <v>0</v>
      </c>
      <c r="O48" s="739">
        <f t="shared" ref="O48:O52" si="11">M48-K48</f>
        <v>0</v>
      </c>
      <c r="S48" s="693"/>
      <c r="Y48" s="672"/>
    </row>
    <row r="49" spans="1:26" ht="15" hidden="1" customHeight="1" outlineLevel="1" x14ac:dyDescent="0.15">
      <c r="A49" s="665">
        <v>104</v>
      </c>
      <c r="B49" s="730" t="s">
        <v>4</v>
      </c>
      <c r="C49" s="732" t="s">
        <v>185</v>
      </c>
      <c r="D49" s="857"/>
      <c r="E49" s="741"/>
      <c r="F49" s="742"/>
      <c r="G49" s="743"/>
      <c r="H49" s="667"/>
      <c r="I49" s="667"/>
      <c r="J49" s="735">
        <f>IF(ISNA(C46),0,IF(D49=0,0,IF(C49="FLO",VLOOKUP(E49,'Base Costs'!$M$4:$N$14,2,FALSE),IF(C49="LED STRIP",VLOOKUP(E49,'Base Costs'!$M$4:$N$14,2,FALSE),(VLOOKUP(C49,'Base Costs'!$M$4:$N$14,2,FALSE))))))</f>
        <v>0</v>
      </c>
      <c r="K49" s="736">
        <f>J49*D49</f>
        <v>0</v>
      </c>
      <c r="L49" s="737">
        <v>0.31</v>
      </c>
      <c r="M49" s="738">
        <f t="shared" si="10"/>
        <v>0</v>
      </c>
      <c r="N49" s="736">
        <f>M49*VLOOKUP($B$9,'Base Costs'!$A$32:$B$37,2,FALSE)</f>
        <v>0</v>
      </c>
      <c r="O49" s="739">
        <f t="shared" si="11"/>
        <v>0</v>
      </c>
      <c r="P49" s="744"/>
      <c r="S49" s="693"/>
      <c r="Y49" s="672"/>
    </row>
    <row r="50" spans="1:26" ht="15" hidden="1" customHeight="1" outlineLevel="1" x14ac:dyDescent="0.15">
      <c r="A50" s="665">
        <v>234</v>
      </c>
      <c r="B50" s="269" t="s">
        <v>1054</v>
      </c>
      <c r="C50" s="745" t="s">
        <v>839</v>
      </c>
      <c r="D50" s="746"/>
      <c r="E50" s="747"/>
      <c r="F50" s="748"/>
      <c r="G50" s="749"/>
      <c r="H50" s="750"/>
      <c r="I50" s="751">
        <v>1</v>
      </c>
      <c r="J50" s="735">
        <f>VLOOKUP(C50,'Base Costs'!$U$4:$V$41,2,FALSE)</f>
        <v>0</v>
      </c>
      <c r="K50" s="736">
        <f t="shared" ref="K50" si="12">J50*1</f>
        <v>0</v>
      </c>
      <c r="L50" s="737">
        <v>0.35</v>
      </c>
      <c r="M50" s="738">
        <f t="shared" si="10"/>
        <v>0</v>
      </c>
      <c r="N50" s="736">
        <f>M50*VLOOKUP($B$9,'Base Costs'!$A$32:$B$37,2,FALSE)</f>
        <v>0</v>
      </c>
      <c r="O50" s="739">
        <f t="shared" si="11"/>
        <v>0</v>
      </c>
      <c r="S50" s="693"/>
      <c r="Y50" s="672"/>
    </row>
    <row r="51" spans="1:26" ht="15" hidden="1" customHeight="1" outlineLevel="1" x14ac:dyDescent="0.15">
      <c r="B51" s="730" t="s">
        <v>339</v>
      </c>
      <c r="C51" s="752" t="s">
        <v>342</v>
      </c>
      <c r="D51" s="734"/>
      <c r="E51" s="753" t="str">
        <f>IF(C51="","",VLOOKUP(C51,CCBASE!$A$53:$D$73,4,FALSE))</f>
        <v/>
      </c>
      <c r="F51" s="754"/>
      <c r="G51" s="749"/>
      <c r="H51" s="750"/>
      <c r="I51" s="755"/>
      <c r="J51" s="735">
        <f>IF(C51="",0,VLOOKUP(C51,CCBASE!$A$53:$C$73,2,FALSE))</f>
        <v>0</v>
      </c>
      <c r="K51" s="736">
        <f>J51*D51</f>
        <v>0</v>
      </c>
      <c r="L51" s="737">
        <v>0.44</v>
      </c>
      <c r="M51" s="738">
        <f t="shared" si="10"/>
        <v>0</v>
      </c>
      <c r="N51" s="736">
        <f>M51*VLOOKUP($B$9,'Base Costs'!$A$32:$B$37,2,FALSE)</f>
        <v>0</v>
      </c>
      <c r="O51" s="739">
        <f t="shared" si="11"/>
        <v>0</v>
      </c>
      <c r="S51" s="693"/>
      <c r="Y51" s="672"/>
    </row>
    <row r="52" spans="1:26" ht="15" hidden="1" customHeight="1" outlineLevel="1" x14ac:dyDescent="0.15">
      <c r="B52" s="984" t="s">
        <v>339</v>
      </c>
      <c r="C52" s="985" t="s">
        <v>1366</v>
      </c>
      <c r="D52" s="986"/>
      <c r="E52" s="987" t="str">
        <f>IF(C52="","",VLOOKUP(C52,CCBASE!$A$53:$D$73,4,FALSE))</f>
        <v>SECTION(S) OF CANOPY</v>
      </c>
      <c r="F52" s="988"/>
      <c r="G52" s="983"/>
      <c r="H52" s="989"/>
      <c r="I52" s="990"/>
      <c r="J52" s="991">
        <f>IF(C52="",0,VLOOKUP(C52,CCBASE!$A$53:$C$73,2,FALSE))</f>
        <v>50</v>
      </c>
      <c r="K52" s="992">
        <f>J52*D52</f>
        <v>0</v>
      </c>
      <c r="L52" s="993">
        <v>0.44</v>
      </c>
      <c r="M52" s="994">
        <f t="shared" si="10"/>
        <v>0</v>
      </c>
      <c r="N52" s="992">
        <f>M52*VLOOKUP($B$9,'Base Costs'!$A$32:$B$37,2,FALSE)</f>
        <v>0</v>
      </c>
      <c r="O52" s="995">
        <f t="shared" si="11"/>
        <v>0</v>
      </c>
      <c r="P52" s="996" t="s">
        <v>1416</v>
      </c>
      <c r="S52" s="693"/>
      <c r="Y52" s="672"/>
    </row>
    <row r="53" spans="1:26" ht="15" hidden="1" customHeight="1" outlineLevel="1" x14ac:dyDescent="0.15">
      <c r="A53" s="665">
        <v>289</v>
      </c>
      <c r="B53" s="730" t="s">
        <v>9</v>
      </c>
      <c r="C53" s="752" t="s">
        <v>565</v>
      </c>
      <c r="D53" s="756">
        <f>ROUNDUP($F48/1000,0)</f>
        <v>0</v>
      </c>
      <c r="E53" s="1107" t="s">
        <v>1059</v>
      </c>
      <c r="F53" s="1105"/>
      <c r="G53" s="754"/>
      <c r="H53" s="750"/>
      <c r="I53" s="755"/>
      <c r="J53" s="735">
        <f>IF(D53=0,0,VLOOKUP(C53,'Base Costs'!$A$19:$B$22,2,FALSE))</f>
        <v>0</v>
      </c>
      <c r="K53" s="736">
        <f>J53*D53</f>
        <v>0</v>
      </c>
      <c r="L53" s="737">
        <v>0.44</v>
      </c>
      <c r="M53" s="738">
        <f t="shared" si="10"/>
        <v>0</v>
      </c>
      <c r="N53" s="736">
        <f>M53*VLOOKUP($B$9,'Base Costs'!$A$32:$B$37,2,FALSE)</f>
        <v>0</v>
      </c>
      <c r="O53" s="739">
        <f>M53-K53</f>
        <v>0</v>
      </c>
      <c r="S53" s="693"/>
      <c r="Y53" s="672"/>
    </row>
    <row r="54" spans="1:26" ht="15" hidden="1" customHeight="1" outlineLevel="1" x14ac:dyDescent="0.15">
      <c r="A54" s="665">
        <v>242</v>
      </c>
      <c r="B54" s="730" t="s">
        <v>44</v>
      </c>
      <c r="C54" s="752"/>
      <c r="D54" s="741" t="s">
        <v>335</v>
      </c>
      <c r="E54" s="749" t="s">
        <v>718</v>
      </c>
      <c r="F54" s="748"/>
      <c r="G54" s="749"/>
      <c r="H54" s="750"/>
      <c r="I54" s="755"/>
      <c r="J54" s="735">
        <f>IF(C54=0,0,'Base Costs'!$B$26)</f>
        <v>0</v>
      </c>
      <c r="K54" s="736">
        <f>J54*C54</f>
        <v>0</v>
      </c>
      <c r="L54" s="737">
        <v>0.44</v>
      </c>
      <c r="M54" s="738">
        <f t="shared" si="10"/>
        <v>0</v>
      </c>
      <c r="N54" s="736">
        <f>M54*VLOOKUP($B$9,'Base Costs'!$A$32:$B$37,2,FALSE)</f>
        <v>0</v>
      </c>
      <c r="O54" s="739">
        <f t="shared" ref="O54:O61" si="13">M54-K54</f>
        <v>0</v>
      </c>
      <c r="S54" s="693"/>
      <c r="Y54" s="672"/>
    </row>
    <row r="55" spans="1:26" ht="15" hidden="1" customHeight="1" outlineLevel="1" x14ac:dyDescent="0.15">
      <c r="A55" s="665">
        <v>220</v>
      </c>
      <c r="B55" s="730" t="s">
        <v>43</v>
      </c>
      <c r="C55" s="752"/>
      <c r="D55" s="741" t="s">
        <v>336</v>
      </c>
      <c r="E55" s="748"/>
      <c r="F55" s="748"/>
      <c r="G55" s="757" t="str">
        <f>IF(ISNUMBER(SEARCH("KSA",$D56)),"MAX. EXTRACT (m³/s)", "")</f>
        <v/>
      </c>
      <c r="H55" s="1102" t="str">
        <f>IF(ISNUMBER(SEARCH("MUAP",$D48)),"MAX.  SUPPLY (m³/s)",IF(ISNUMBER(SEARCH("SPECIAL",$D48)),"MAX.  SUPPLY (m³/s)",(IF(ISNUMBER(SEARCH("F",$D48)),"MAX.  SUPPLY (m³/s)",""))))</f>
        <v/>
      </c>
      <c r="I55" s="1102"/>
      <c r="J55" s="735">
        <f>IF(C55=0,0,'Base Costs'!$B$29)</f>
        <v>0</v>
      </c>
      <c r="K55" s="736">
        <f>J55*C55</f>
        <v>0</v>
      </c>
      <c r="L55" s="737">
        <v>0.44</v>
      </c>
      <c r="M55" s="738">
        <f t="shared" si="10"/>
        <v>0</v>
      </c>
      <c r="N55" s="736">
        <f>M55*VLOOKUP($B$9,'Base Costs'!$A$32:$B$37,2,FALSE)</f>
        <v>0</v>
      </c>
      <c r="O55" s="739">
        <f t="shared" si="13"/>
        <v>0</v>
      </c>
      <c r="S55" s="693"/>
      <c r="Y55" s="672"/>
    </row>
    <row r="56" spans="1:26" ht="15" hidden="1" customHeight="1" outlineLevel="1" x14ac:dyDescent="0.15">
      <c r="A56" s="665">
        <v>103</v>
      </c>
      <c r="B56" s="730" t="s">
        <v>3</v>
      </c>
      <c r="C56" s="740">
        <f>IF(ISNUMBER(SEARCH("CMW",D48)),1,IF(F46=0,0,(ROUNDDOWN(((((F48-(100+(50*H46))))/H48)/500),0)*H46)))</f>
        <v>0</v>
      </c>
      <c r="D56" s="741" t="str">
        <f>VLOOKUP(D48,'Base Costs'!$A$39:$B$58,2,FALSE)</f>
        <v>FILTER TYPE</v>
      </c>
      <c r="E56" s="758" t="str">
        <f>IF(C56=0,0,IF(D56="KSA",ROUND(I48/C56,3),""))&amp; "  m³/s per filter"</f>
        <v>0  m³/s per filter</v>
      </c>
      <c r="F56" s="758" t="str">
        <f>IF(C56=0," Pa",ROUND((((I48*3600)/(C56*I45))^2),1)+20&amp; " Pa")</f>
        <v xml:space="preserve"> Pa</v>
      </c>
      <c r="G56" s="759" t="str">
        <f>IF(ISNUMBER(SEARCH("KSA",$D56)),$C56*0.25, "")</f>
        <v/>
      </c>
      <c r="H56" s="1103" t="str">
        <f>IF(ISNUMBER(SEARCH("MUAP",$D48)),0.225*($F48/1000),IF(ISNUMBER(SEARCH("SPECIAL",$D48)),0.225*($F48/1000),(IF(ISNUMBER(SEARCH("F",$D48)),0.225*($F48/1000),""))))</f>
        <v/>
      </c>
      <c r="I56" s="1103"/>
      <c r="J56" s="735">
        <f>IF(ISNA(D56),0,(VLOOKUP(D56,'Base Costs'!$Q$4:$R$11,2,FALSE)))</f>
        <v>0</v>
      </c>
      <c r="K56" s="736">
        <f>IF(ISNA(D56),0,IF(D56="MX",J56*1,J56*C56))</f>
        <v>0</v>
      </c>
      <c r="L56" s="737">
        <v>0.44</v>
      </c>
      <c r="M56" s="738">
        <f t="shared" si="10"/>
        <v>0</v>
      </c>
      <c r="N56" s="736">
        <f>M56*VLOOKUP($B$9,'Base Costs'!$A$32:$B$37,2,FALSE)</f>
        <v>0</v>
      </c>
      <c r="O56" s="739">
        <f t="shared" si="13"/>
        <v>0</v>
      </c>
      <c r="S56" s="693"/>
      <c r="Y56" s="672"/>
    </row>
    <row r="57" spans="1:26" ht="15" hidden="1" customHeight="1" outlineLevel="1" x14ac:dyDescent="0.15">
      <c r="B57" s="269" t="s">
        <v>1351</v>
      </c>
      <c r="C57" s="740">
        <v>0</v>
      </c>
      <c r="D57" s="856" t="str">
        <f>VLOOKUP(D48,'Base Costs'!$A$39:$C$58,3,FALSE)</f>
        <v>PSU</v>
      </c>
      <c r="E57" s="758" t="str">
        <f>IF(C57=0,0,IF(D57="PSU",ROUND(I48/C57,3),""))&amp; " m³/s per filter"</f>
        <v>0 m³/s per filter</v>
      </c>
      <c r="F57" s="758" t="str">
        <f>IF(C57=0," Pa",ROUND((((I48*3600)/(C57*I45))^2),1)+20&amp; " Pa")</f>
        <v xml:space="preserve"> Pa</v>
      </c>
      <c r="G57" s="759" t="str">
        <f>IF(ISNUMBER(SEARCH("KSA",$D57)),$C57*0.25, "")</f>
        <v/>
      </c>
      <c r="H57" s="1103" t="str">
        <f>IF(ISNUMBER(SEARCH("MUAP",$D48)),0.225*($F48/1000),IF(ISNUMBER(SEARCH("SPECIAL",$D48)),0.225*($F48/1000),(IF(ISNUMBER(SEARCH("F",$D48)),0.225*($F48/1000),""))))</f>
        <v/>
      </c>
      <c r="I57" s="1103"/>
      <c r="J57" s="735">
        <f>IF(ISNA(D57),0,(VLOOKUP(D57,'Base Costs'!$Q$4:$R$13,2,FALSE)))</f>
        <v>112.678</v>
      </c>
      <c r="K57" s="736">
        <f>IF(ISNA(D57),0,IF(D57="MX",J57*1,J57*C57))</f>
        <v>0</v>
      </c>
      <c r="L57" s="737">
        <v>0.44</v>
      </c>
      <c r="M57" s="738">
        <f t="shared" si="10"/>
        <v>0</v>
      </c>
      <c r="N57" s="736">
        <f>M57*VLOOKUP($B$9,'Base Costs'!$A$32:$B$37,2,FALSE)</f>
        <v>0</v>
      </c>
      <c r="O57" s="739">
        <f t="shared" si="13"/>
        <v>0</v>
      </c>
      <c r="S57" s="693"/>
      <c r="Y57" s="672"/>
    </row>
    <row r="58" spans="1:26" ht="15" hidden="1" customHeight="1" outlineLevel="1" x14ac:dyDescent="0.15">
      <c r="A58" s="665">
        <v>107</v>
      </c>
      <c r="B58" s="760" t="str">
        <f>IF(ISNUMBER(SEARCH("UV",D48)),"UV-C COMPONENTS",IF(ISNUMBER(SEARCH("CMW",D48)),"WATERWASH COMPONENTS",""))</f>
        <v/>
      </c>
      <c r="C58" s="761" t="str">
        <f>IF(H46=0,"UVR",IF(I48=0,"UVR",IF(I58&gt;0,("UVR")&amp;(INDEX('Base Costs'!$AH$5:$AI$10,(MATCH((I48/H46),'Base Costs'!$AI$5:$AI$10,-1)),1))&amp;("-")&amp;(H46),"UVR")))</f>
        <v>UVR</v>
      </c>
      <c r="D58" s="769" t="str">
        <f>VLOOKUP(C58,'Base Costs'!$Z$4:$AF$77,7,FALSE)&amp;" m³/s"</f>
        <v xml:space="preserve"> m³/s</v>
      </c>
      <c r="E58" s="763" t="str">
        <f>IF(ISNUMBER(SEARCH("L",C58)),"LONG RACK IN SECTION","SHORTRACK")</f>
        <v>SHORTRACK</v>
      </c>
      <c r="F58" s="764" t="str">
        <f>IF(ISNUMBER(SEARCH("L",C58)),ROUND(F48/H48,1)&amp;" mm","")</f>
        <v/>
      </c>
      <c r="G58" s="754"/>
      <c r="H58" s="754"/>
      <c r="I58" s="751">
        <f>IF(ISNUMBER(SEARCH("UV",D48)),1, 0)</f>
        <v>0</v>
      </c>
      <c r="J58" s="735">
        <f>IF(ISNA(C58),0,VLOOKUP(C58,'Base Costs'!$Z$4:$AF$77,2,FALSE))</f>
        <v>0</v>
      </c>
      <c r="K58" s="736">
        <f t="shared" ref="K58" si="14">J58*1</f>
        <v>0</v>
      </c>
      <c r="L58" s="737">
        <v>0.44</v>
      </c>
      <c r="M58" s="738">
        <f t="shared" si="10"/>
        <v>0</v>
      </c>
      <c r="N58" s="736">
        <f>M58*VLOOKUP($B$9,'Base Costs'!$A$32:$B$37,2,FALSE)</f>
        <v>0</v>
      </c>
      <c r="O58" s="739">
        <f t="shared" si="13"/>
        <v>0</v>
      </c>
      <c r="S58" s="693"/>
      <c r="Y58" s="672"/>
    </row>
    <row r="59" spans="1:26" ht="15" hidden="1" customHeight="1" outlineLevel="1" x14ac:dyDescent="0.15">
      <c r="B59" s="730" t="str">
        <f>IF(ISNUMBER(SEARCH("UV",D48)),"UV-C 2ND FILTER",IF(ISNUMBER(SEARCH("CMW",D48)),"CONTROL PANEL",""))</f>
        <v/>
      </c>
      <c r="C59" s="758" t="s">
        <v>588</v>
      </c>
      <c r="D59" s="760" t="str">
        <f>IF(ISNUMBER(SEARCH("CP1S",$C59)),"Up to 12m of canopy","")</f>
        <v/>
      </c>
      <c r="E59" s="760" t="str">
        <f>IF(ISNUMBER(SEARCH("CMW",$D48)),"CWS REQUIREMENT @ 2Bar","")</f>
        <v/>
      </c>
      <c r="F59" s="765" t="str">
        <f>IF(ISNUMBER(SEARCH("CMW",$D48)),$F48/1000*0.02&amp;" L/S","")</f>
        <v/>
      </c>
      <c r="G59" s="754"/>
      <c r="H59" s="750"/>
      <c r="I59" s="751">
        <f>C56</f>
        <v>0</v>
      </c>
      <c r="J59" s="735">
        <f>IF(ISNUMBER(SEARCH("CMW",D48)),VLOOKUP(C59,CCBASE!$A$81:$B$85,2,FALSE),(IF(I58&gt;0,'Base Costs'!$R$7,0)))</f>
        <v>0</v>
      </c>
      <c r="K59" s="736">
        <f>J59*C56</f>
        <v>0</v>
      </c>
      <c r="L59" s="737">
        <v>0.44</v>
      </c>
      <c r="M59" s="738">
        <f t="shared" si="10"/>
        <v>0</v>
      </c>
      <c r="N59" s="736">
        <f>M59*VLOOKUP($B$9,'Base Costs'!$A$32:$B$37,2,FALSE)</f>
        <v>0</v>
      </c>
      <c r="O59" s="739">
        <f t="shared" si="13"/>
        <v>0</v>
      </c>
      <c r="S59" s="693"/>
      <c r="Y59" s="672"/>
    </row>
    <row r="60" spans="1:26" ht="15" hidden="1" customHeight="1" outlineLevel="1" x14ac:dyDescent="0.15">
      <c r="A60" s="665">
        <v>285</v>
      </c>
      <c r="B60" s="730" t="str">
        <f>IF(ISNUMBER(SEARCH("UV",D48)),"UV-C WORKSHOP WIRING",IF(ISNUMBER(SEARCH("CMW",D48)),"W/W PODS",""))</f>
        <v/>
      </c>
      <c r="C60" s="758" t="s">
        <v>714</v>
      </c>
      <c r="D60" s="758">
        <v>0</v>
      </c>
      <c r="E60" s="760" t="str">
        <f>IF(ISNUMBER(SEARCH("CMW",$D48)),"HWS REQUIREMENT @ 60°C ","")</f>
        <v/>
      </c>
      <c r="F60" s="766" t="str">
        <f>IF(ISNUMBER(SEARCH("CMW",$D48)),$F48/1000*0.103&amp;" L/S","")</f>
        <v/>
      </c>
      <c r="G60" s="754"/>
      <c r="H60" s="750"/>
      <c r="I60" s="751">
        <f>IF(I58&gt;0,H46,0)</f>
        <v>0</v>
      </c>
      <c r="J60" s="735">
        <f>IF(ISNUMBER(SEARCH("CMW",D48)),VLOOKUP(C60,'Base Costs'!$Q$35:$R$45,2,FALSE),IF(I60=0,0,36*1.03))</f>
        <v>0</v>
      </c>
      <c r="K60" s="736">
        <f>IF(ISNUMBER(SEARCH("CMW",D48)),J60*D60,J60*H46)</f>
        <v>0</v>
      </c>
      <c r="L60" s="737">
        <v>0.44</v>
      </c>
      <c r="M60" s="738">
        <f t="shared" si="10"/>
        <v>0</v>
      </c>
      <c r="N60" s="736">
        <f>M60*VLOOKUP($B$9,'Base Costs'!$A$32:$B$37,2,FALSE)</f>
        <v>0</v>
      </c>
      <c r="O60" s="739">
        <f t="shared" si="13"/>
        <v>0</v>
      </c>
      <c r="S60" s="693"/>
      <c r="Y60" s="672"/>
    </row>
    <row r="61" spans="1:26" ht="15" hidden="1" customHeight="1" outlineLevel="1" x14ac:dyDescent="0.15">
      <c r="A61" s="665">
        <v>286</v>
      </c>
      <c r="B61" s="730" t="str">
        <f>IF(ISNUMBER(SEARCH("CMW",$D48)),"CWS/HWS PIPEWORK UP TO 5M",IF(ISNUMBER(SEARCH("UV",$D48)),"MU5 INTERFACE", ""))</f>
        <v/>
      </c>
      <c r="C61" s="758">
        <v>1</v>
      </c>
      <c r="D61" s="767"/>
      <c r="E61" s="760" t="str">
        <f>IF(ISNUMBER(SEARCH("CMW",$D48)),"HW STORAGE 3m wash","")</f>
        <v/>
      </c>
      <c r="F61" s="765" t="str">
        <f>IF(ISNUMBER(SEARCH("CMW",$D48)),($F48/1000)*0.103*180&amp;" L","")</f>
        <v/>
      </c>
      <c r="G61" s="749"/>
      <c r="H61" s="750"/>
      <c r="I61" s="751">
        <f>IF(I58=0,0,1)</f>
        <v>0</v>
      </c>
      <c r="J61" s="735">
        <f>IF(B61="CWS/HWS PIPEWORK UP TO 5M",CCBASE!$B$65,IF(I61=0,0,100*1.44))</f>
        <v>0</v>
      </c>
      <c r="K61" s="736">
        <f>J61*C61</f>
        <v>0</v>
      </c>
      <c r="L61" s="737">
        <v>0.44</v>
      </c>
      <c r="M61" s="738">
        <f t="shared" si="10"/>
        <v>0</v>
      </c>
      <c r="N61" s="736">
        <f>M61*VLOOKUP($B$9,'Base Costs'!$A$32:$B$37,2,FALSE)</f>
        <v>0</v>
      </c>
      <c r="O61" s="739">
        <f t="shared" si="13"/>
        <v>0</v>
      </c>
      <c r="S61" s="693"/>
      <c r="Y61" s="672"/>
    </row>
    <row r="62" spans="1:26" ht="15" customHeight="1" collapsed="1" x14ac:dyDescent="0.15">
      <c r="B62" s="713"/>
      <c r="C62" s="770"/>
      <c r="E62" s="770"/>
      <c r="F62" s="770"/>
      <c r="G62" s="715" t="s">
        <v>347</v>
      </c>
      <c r="H62" s="714"/>
      <c r="I62" s="715">
        <f>IF(ISNUMBER(SEARCH("UV",D65)),49.7,71.75)</f>
        <v>71.75</v>
      </c>
      <c r="J62" s="716"/>
      <c r="K62" s="771"/>
      <c r="L62" s="772"/>
      <c r="M62" s="771"/>
      <c r="N62" s="771"/>
      <c r="S62" s="693"/>
      <c r="Y62" s="672"/>
    </row>
    <row r="63" spans="1:26" s="673" customFormat="1" ht="15" customHeight="1" x14ac:dyDescent="0.15">
      <c r="A63" s="665"/>
      <c r="B63" s="241" t="s">
        <v>604</v>
      </c>
      <c r="C63" s="719">
        <f>IF(H63&lt;1,0,(((VLOOKUP(G63,CC!$D$2:$F$670,3,FALSE))*H63)+IF(ISNUMBER(SEARCH("CMW",D65)),VLOOKUP(C76,CCBASE!$A$81:$C$85,3,FALSE),0)+(VLOOKUP(C68,CCBASE!$A$53:$C$73,3,FALSE)*D68)+(VLOOKUP(C69,CCBASE!$A$53:$C$73,3,FALSE)*D69))&amp;" HRS")</f>
        <v>0</v>
      </c>
      <c r="D63" s="720" t="str">
        <f>D65</f>
        <v>CANOPY TYPE</v>
      </c>
      <c r="E63" s="701">
        <f>CEILING(IF(C65="WALL",E65, (E65/2)),250)</f>
        <v>0</v>
      </c>
      <c r="F63" s="701">
        <f>IF(H63&lt;1,0,CEILING((F65-100)/H65,250))</f>
        <v>0</v>
      </c>
      <c r="G63" s="720" t="str">
        <f>D63&amp;F63&amp;E63</f>
        <v>CANOPY TYPE00</v>
      </c>
      <c r="H63" s="719">
        <f>IF(E65=0,0,IF(F65=0,0,(E65/(IF(C65="WALL",E65,(E65/2)))*H65)))</f>
        <v>0</v>
      </c>
      <c r="I63" s="719" t="str">
        <f>I65&amp;" m³/s"</f>
        <v xml:space="preserve"> m³/s</v>
      </c>
      <c r="J63" s="721"/>
      <c r="K63" s="722">
        <f>SUBTOTAL(9,K65:K78)</f>
        <v>0</v>
      </c>
      <c r="L63" s="703" t="str">
        <f>IF(K63=0,"-",O63/M63)</f>
        <v>-</v>
      </c>
      <c r="M63" s="722">
        <f>SUBTOTAL(9,M65:M78)</f>
        <v>0</v>
      </c>
      <c r="N63" s="704">
        <f>SUBTOTAL(9,N65:N78)</f>
        <v>0</v>
      </c>
      <c r="O63" s="722">
        <f>SUBTOTAL(9,O65:O78)</f>
        <v>0</v>
      </c>
      <c r="P63" s="672"/>
      <c r="Q63" s="672"/>
      <c r="R63" s="672"/>
      <c r="S63" s="712"/>
      <c r="T63" s="672"/>
      <c r="X63" s="672"/>
      <c r="Y63" s="672"/>
      <c r="Z63" s="672"/>
    </row>
    <row r="64" spans="1:26" ht="15" hidden="1" customHeight="1" outlineLevel="1" x14ac:dyDescent="0.15">
      <c r="B64" s="723"/>
      <c r="C64" s="724" t="s">
        <v>198</v>
      </c>
      <c r="D64" s="725" t="s">
        <v>255</v>
      </c>
      <c r="E64" s="724" t="s">
        <v>128</v>
      </c>
      <c r="F64" s="724" t="s">
        <v>129</v>
      </c>
      <c r="G64" s="724" t="s">
        <v>172</v>
      </c>
      <c r="H64" s="724" t="s">
        <v>197</v>
      </c>
      <c r="I64" s="725" t="s">
        <v>256</v>
      </c>
      <c r="J64" s="726"/>
      <c r="K64" s="727"/>
      <c r="L64" s="727"/>
      <c r="M64" s="728"/>
      <c r="N64" s="729"/>
      <c r="O64" s="711"/>
      <c r="S64" s="693"/>
      <c r="Y64" s="672"/>
    </row>
    <row r="65" spans="1:26" ht="15" hidden="1" customHeight="1" outlineLevel="1" x14ac:dyDescent="0.2">
      <c r="A65" s="665">
        <v>210</v>
      </c>
      <c r="B65" s="730" t="s">
        <v>182</v>
      </c>
      <c r="C65" s="731" t="s">
        <v>183</v>
      </c>
      <c r="D65" s="732" t="s">
        <v>130</v>
      </c>
      <c r="E65" s="733"/>
      <c r="F65" s="733"/>
      <c r="G65" s="733"/>
      <c r="H65" s="734"/>
      <c r="I65" s="733"/>
      <c r="J65" s="735">
        <f>IF(ISNA(C63),0,IF(F63&gt;3000,0,(IF(H63&lt;1,0,((VLOOKUP(G63,CC!$D$2:$E$670,2,FALSE))*H63)+((VLOOKUP(G63,CC!$D$2:$AD$670,17,FALSE)*(H63/H65)))))))</f>
        <v>0</v>
      </c>
      <c r="K65" s="736">
        <f>J65*1</f>
        <v>0</v>
      </c>
      <c r="L65" s="737">
        <v>0.44</v>
      </c>
      <c r="M65" s="738">
        <f t="shared" ref="M65:M78" si="15">K65/(1-L65)*(1+$C$9)</f>
        <v>0</v>
      </c>
      <c r="N65" s="736">
        <f>M65*VLOOKUP($B$9,'Base Costs'!$A$32:$B$37,2,FALSE)</f>
        <v>0</v>
      </c>
      <c r="O65" s="739">
        <f t="shared" ref="O65:O69" si="16">M65-K65</f>
        <v>0</v>
      </c>
      <c r="S65" s="693"/>
      <c r="Y65" s="672"/>
    </row>
    <row r="66" spans="1:26" ht="15" hidden="1" customHeight="1" outlineLevel="1" x14ac:dyDescent="0.15">
      <c r="A66" s="665">
        <v>104</v>
      </c>
      <c r="B66" s="730" t="s">
        <v>4</v>
      </c>
      <c r="C66" s="732" t="s">
        <v>185</v>
      </c>
      <c r="D66" s="740"/>
      <c r="E66" s="741">
        <v>100</v>
      </c>
      <c r="F66" s="742"/>
      <c r="G66" s="743"/>
      <c r="H66" s="667"/>
      <c r="I66" s="667"/>
      <c r="J66" s="735">
        <f>IF(ISNA(C63),0,IF(D66=0,0,IF(C66="FLO",VLOOKUP(E66,'Base Costs'!$M$4:$N$14,2,FALSE),IF(C66="LED STRIP",VLOOKUP(E66,'Base Costs'!$M$4:$N$14,2,FALSE),(VLOOKUP(C66,'Base Costs'!$M$4:$N$14,2,FALSE))))))</f>
        <v>0</v>
      </c>
      <c r="K66" s="736">
        <f>J66*D66</f>
        <v>0</v>
      </c>
      <c r="L66" s="737">
        <v>0.31</v>
      </c>
      <c r="M66" s="738">
        <f t="shared" si="15"/>
        <v>0</v>
      </c>
      <c r="N66" s="736">
        <f>M66*VLOOKUP($B$9,'Base Costs'!$A$32:$B$37,2,FALSE)</f>
        <v>0</v>
      </c>
      <c r="O66" s="739">
        <f t="shared" si="16"/>
        <v>0</v>
      </c>
      <c r="P66" s="744"/>
      <c r="S66" s="693"/>
      <c r="Y66" s="672"/>
    </row>
    <row r="67" spans="1:26" ht="15" hidden="1" customHeight="1" outlineLevel="1" x14ac:dyDescent="0.15">
      <c r="A67" s="665">
        <v>234</v>
      </c>
      <c r="B67" s="269" t="s">
        <v>1054</v>
      </c>
      <c r="C67" s="745" t="s">
        <v>839</v>
      </c>
      <c r="D67" s="746"/>
      <c r="E67" s="747"/>
      <c r="F67" s="748"/>
      <c r="G67" s="749"/>
      <c r="H67" s="750"/>
      <c r="I67" s="751">
        <v>1</v>
      </c>
      <c r="J67" s="735">
        <f>VLOOKUP(C67,'Base Costs'!$U$4:$V$41,2,FALSE)</f>
        <v>0</v>
      </c>
      <c r="K67" s="736">
        <f t="shared" ref="K67" si="17">J67*1</f>
        <v>0</v>
      </c>
      <c r="L67" s="737">
        <v>0.35</v>
      </c>
      <c r="M67" s="738">
        <f t="shared" si="15"/>
        <v>0</v>
      </c>
      <c r="N67" s="736">
        <f>M67*VLOOKUP($B$9,'Base Costs'!$A$32:$B$37,2,FALSE)</f>
        <v>0</v>
      </c>
      <c r="O67" s="739">
        <f t="shared" si="16"/>
        <v>0</v>
      </c>
      <c r="S67" s="693"/>
      <c r="Y67" s="672"/>
    </row>
    <row r="68" spans="1:26" ht="15" hidden="1" customHeight="1" outlineLevel="1" x14ac:dyDescent="0.15">
      <c r="B68" s="730" t="s">
        <v>339</v>
      </c>
      <c r="C68" s="752" t="s">
        <v>342</v>
      </c>
      <c r="D68" s="734"/>
      <c r="E68" s="753" t="str">
        <f>IF(C68="","",VLOOKUP(C68,CCBASE!$A$53:$D$73,4,FALSE))</f>
        <v/>
      </c>
      <c r="F68" s="754"/>
      <c r="G68" s="749"/>
      <c r="H68" s="750"/>
      <c r="I68" s="755"/>
      <c r="J68" s="735">
        <f>IF(C68="",0,VLOOKUP(C68,CCBASE!$A$53:$C$73,2,FALSE))</f>
        <v>0</v>
      </c>
      <c r="K68" s="736">
        <f>J68*D68</f>
        <v>0</v>
      </c>
      <c r="L68" s="737">
        <v>0.44</v>
      </c>
      <c r="M68" s="738">
        <f t="shared" si="15"/>
        <v>0</v>
      </c>
      <c r="N68" s="736">
        <f>M68*VLOOKUP($B$9,'Base Costs'!$A$32:$B$37,2,FALSE)</f>
        <v>0</v>
      </c>
      <c r="O68" s="739">
        <f t="shared" si="16"/>
        <v>0</v>
      </c>
      <c r="S68" s="693"/>
      <c r="Y68" s="672"/>
    </row>
    <row r="69" spans="1:26" ht="15" hidden="1" customHeight="1" outlineLevel="1" x14ac:dyDescent="0.15">
      <c r="B69" s="984" t="s">
        <v>339</v>
      </c>
      <c r="C69" s="985" t="s">
        <v>1366</v>
      </c>
      <c r="D69" s="986"/>
      <c r="E69" s="987" t="str">
        <f>IF(C69="","",VLOOKUP(C69,CCBASE!$A$53:$D$73,4,FALSE))</f>
        <v>SECTION(S) OF CANOPY</v>
      </c>
      <c r="F69" s="988"/>
      <c r="G69" s="983"/>
      <c r="H69" s="989"/>
      <c r="I69" s="990"/>
      <c r="J69" s="991">
        <f>IF(C69="",0,VLOOKUP(C69,CCBASE!$A$53:$C$73,2,FALSE))</f>
        <v>50</v>
      </c>
      <c r="K69" s="992">
        <f>J69*D69</f>
        <v>0</v>
      </c>
      <c r="L69" s="993">
        <v>0.44</v>
      </c>
      <c r="M69" s="994">
        <f t="shared" si="15"/>
        <v>0</v>
      </c>
      <c r="N69" s="992">
        <f>M69*VLOOKUP($B$9,'Base Costs'!$A$32:$B$37,2,FALSE)</f>
        <v>0</v>
      </c>
      <c r="O69" s="995">
        <f t="shared" si="16"/>
        <v>0</v>
      </c>
      <c r="P69" s="996" t="s">
        <v>1416</v>
      </c>
      <c r="S69" s="693"/>
      <c r="Y69" s="672"/>
    </row>
    <row r="70" spans="1:26" ht="15" hidden="1" customHeight="1" outlineLevel="1" x14ac:dyDescent="0.15">
      <c r="A70" s="665">
        <v>289</v>
      </c>
      <c r="B70" s="730" t="s">
        <v>9</v>
      </c>
      <c r="C70" s="752" t="s">
        <v>565</v>
      </c>
      <c r="D70" s="756">
        <f>ROUNDUP($F65/1000,0)</f>
        <v>0</v>
      </c>
      <c r="E70" s="1107" t="s">
        <v>1059</v>
      </c>
      <c r="F70" s="1105"/>
      <c r="G70" s="754"/>
      <c r="H70" s="750"/>
      <c r="I70" s="755"/>
      <c r="J70" s="735">
        <f>IF(D70=0,0,VLOOKUP(C70,'Base Costs'!$A$19:$B$22,2,FALSE))</f>
        <v>0</v>
      </c>
      <c r="K70" s="736">
        <f>J70*D70</f>
        <v>0</v>
      </c>
      <c r="L70" s="737">
        <v>0.44</v>
      </c>
      <c r="M70" s="738">
        <f t="shared" si="15"/>
        <v>0</v>
      </c>
      <c r="N70" s="736">
        <f>M70*VLOOKUP($B$9,'Base Costs'!$A$32:$B$37,2,FALSE)</f>
        <v>0</v>
      </c>
      <c r="O70" s="739">
        <f>M70-K70</f>
        <v>0</v>
      </c>
      <c r="S70" s="693"/>
      <c r="Y70" s="672"/>
    </row>
    <row r="71" spans="1:26" ht="15" hidden="1" customHeight="1" outlineLevel="1" x14ac:dyDescent="0.15">
      <c r="A71" s="665">
        <v>242</v>
      </c>
      <c r="B71" s="730" t="s">
        <v>44</v>
      </c>
      <c r="C71" s="752"/>
      <c r="D71" s="741" t="s">
        <v>335</v>
      </c>
      <c r="E71" s="749" t="s">
        <v>718</v>
      </c>
      <c r="F71" s="748"/>
      <c r="G71" s="749"/>
      <c r="H71" s="750"/>
      <c r="I71" s="755"/>
      <c r="J71" s="735">
        <f>IF(C71=0,0,'Base Costs'!$B$26)</f>
        <v>0</v>
      </c>
      <c r="K71" s="736">
        <f>J71*C71</f>
        <v>0</v>
      </c>
      <c r="L71" s="737">
        <v>0.44</v>
      </c>
      <c r="M71" s="738">
        <f t="shared" si="15"/>
        <v>0</v>
      </c>
      <c r="N71" s="736">
        <f>M71*VLOOKUP($B$9,'Base Costs'!$A$32:$B$37,2,FALSE)</f>
        <v>0</v>
      </c>
      <c r="O71" s="739">
        <f t="shared" ref="O71:O78" si="18">M71-K71</f>
        <v>0</v>
      </c>
      <c r="S71" s="693"/>
      <c r="Y71" s="672"/>
    </row>
    <row r="72" spans="1:26" ht="15" hidden="1" customHeight="1" outlineLevel="1" x14ac:dyDescent="0.15">
      <c r="A72" s="665">
        <v>220</v>
      </c>
      <c r="B72" s="730" t="s">
        <v>43</v>
      </c>
      <c r="C72" s="752"/>
      <c r="D72" s="741" t="s">
        <v>336</v>
      </c>
      <c r="E72" s="748"/>
      <c r="F72" s="748"/>
      <c r="G72" s="757" t="str">
        <f>IF(ISNUMBER(SEARCH("KSA",$D73)),"MAX. EXTRACT (m³/s)", "")</f>
        <v/>
      </c>
      <c r="H72" s="1102" t="str">
        <f>IF(ISNUMBER(SEARCH("MUAP",$D65)),"MAX.  SUPPLY (m³/s)",IF(ISNUMBER(SEARCH("SPECIAL",$D65)),"MAX.  SUPPLY (m³/s)",(IF(ISNUMBER(SEARCH("F",$D65)),"MAX.  SUPPLY (m³/s)",""))))</f>
        <v/>
      </c>
      <c r="I72" s="1102"/>
      <c r="J72" s="735">
        <f>IF(C72=0,0,'Base Costs'!$B$29)</f>
        <v>0</v>
      </c>
      <c r="K72" s="736">
        <f>J72*C72</f>
        <v>0</v>
      </c>
      <c r="L72" s="737">
        <v>0.44</v>
      </c>
      <c r="M72" s="738">
        <f t="shared" si="15"/>
        <v>0</v>
      </c>
      <c r="N72" s="736">
        <f>M72*VLOOKUP($B$9,'Base Costs'!$A$32:$B$37,2,FALSE)</f>
        <v>0</v>
      </c>
      <c r="O72" s="739">
        <f t="shared" si="18"/>
        <v>0</v>
      </c>
      <c r="S72" s="693"/>
      <c r="Y72" s="672"/>
    </row>
    <row r="73" spans="1:26" ht="15" hidden="1" customHeight="1" outlineLevel="1" x14ac:dyDescent="0.15">
      <c r="A73" s="665">
        <v>103</v>
      </c>
      <c r="B73" s="730" t="s">
        <v>3</v>
      </c>
      <c r="C73" s="740">
        <f>IF(ISNUMBER(SEARCH("CMW",D65)),1,IF(F63=0,0,(ROUNDDOWN(((((F65-(100+(50*H63))))/H65)/500),0)*H63)))</f>
        <v>0</v>
      </c>
      <c r="D73" s="741" t="str">
        <f>VLOOKUP(D65,'Base Costs'!$A$39:$B$58,2,FALSE)</f>
        <v>FILTER TYPE</v>
      </c>
      <c r="E73" s="758" t="str">
        <f>IF(C73=0,0,IF(D73="KSA",ROUND(I65/C73,3),""))&amp; "  m³/s per filter"</f>
        <v>0  m³/s per filter</v>
      </c>
      <c r="F73" s="758" t="str">
        <f>IF(C73=0," Pa",ROUND((((I65*3600)/(C73*I62))^2),1)+20&amp; " Pa")</f>
        <v xml:space="preserve"> Pa</v>
      </c>
      <c r="G73" s="759" t="str">
        <f>IF(ISNUMBER(SEARCH("KSA",$D73)),$C73*0.25, "")</f>
        <v/>
      </c>
      <c r="H73" s="1103" t="str">
        <f>IF(ISNUMBER(SEARCH("MUAP",$D65)),0.225*($F65/1000),IF(ISNUMBER(SEARCH("SPECIAL",$D65)),0.225*($F65/1000),(IF(ISNUMBER(SEARCH("F",$D65)),0.225*($F65/1000),""))))</f>
        <v/>
      </c>
      <c r="I73" s="1103"/>
      <c r="J73" s="735">
        <f>IF(ISNA(D73),0,(VLOOKUP(D73,'Base Costs'!$Q$4:$R$11,2,FALSE)))</f>
        <v>0</v>
      </c>
      <c r="K73" s="736">
        <f>IF(ISNA(D73),0,IF(D73="MX",J73*1,J73*C73))</f>
        <v>0</v>
      </c>
      <c r="L73" s="737">
        <v>0.44</v>
      </c>
      <c r="M73" s="738">
        <f t="shared" si="15"/>
        <v>0</v>
      </c>
      <c r="N73" s="736">
        <f>M73*VLOOKUP($B$9,'Base Costs'!$A$32:$B$37,2,FALSE)</f>
        <v>0</v>
      </c>
      <c r="O73" s="739">
        <f t="shared" si="18"/>
        <v>0</v>
      </c>
      <c r="S73" s="693"/>
      <c r="Y73" s="672"/>
    </row>
    <row r="74" spans="1:26" ht="15" hidden="1" customHeight="1" outlineLevel="1" x14ac:dyDescent="0.15">
      <c r="B74" s="269" t="s">
        <v>1351</v>
      </c>
      <c r="C74" s="740">
        <v>0</v>
      </c>
      <c r="D74" s="856" t="str">
        <f>VLOOKUP(D65,'Base Costs'!$A$39:$C$58,3,FALSE)</f>
        <v>PSU</v>
      </c>
      <c r="E74" s="758" t="str">
        <f>IF(C74=0,0,IF(D74="PSU",ROUND(I65/C74,3),""))&amp; " m³/s per filter"</f>
        <v>0 m³/s per filter</v>
      </c>
      <c r="F74" s="758" t="str">
        <f>IF(C74=0," Pa",ROUND((((I65*3600)/(C74*I62))^2),1)+20&amp; " Pa")</f>
        <v xml:space="preserve"> Pa</v>
      </c>
      <c r="G74" s="759" t="str">
        <f>IF(ISNUMBER(SEARCH("KSA",$D74)),$C74*0.25, "")</f>
        <v/>
      </c>
      <c r="H74" s="1103" t="str">
        <f>IF(ISNUMBER(SEARCH("MUAP",$D65)),0.225*($F65/1000),IF(ISNUMBER(SEARCH("SPECIAL",$D65)),0.225*($F65/1000),(IF(ISNUMBER(SEARCH("F",$D65)),0.225*($F65/1000),""))))</f>
        <v/>
      </c>
      <c r="I74" s="1103"/>
      <c r="J74" s="735">
        <f>IF(ISNA(D74),0,(VLOOKUP(D74,'Base Costs'!$Q$4:$R$13,2,FALSE)))</f>
        <v>112.678</v>
      </c>
      <c r="K74" s="736">
        <f>IF(ISNA(D74),0,IF(D74="MX",J74*1,J74*C74))</f>
        <v>0</v>
      </c>
      <c r="L74" s="737">
        <v>0.44</v>
      </c>
      <c r="M74" s="738">
        <f t="shared" si="15"/>
        <v>0</v>
      </c>
      <c r="N74" s="736">
        <f>M74*VLOOKUP($B$9,'Base Costs'!$A$32:$B$37,2,FALSE)</f>
        <v>0</v>
      </c>
      <c r="O74" s="739">
        <f t="shared" si="18"/>
        <v>0</v>
      </c>
      <c r="S74" s="693"/>
      <c r="Y74" s="672"/>
    </row>
    <row r="75" spans="1:26" ht="15" hidden="1" customHeight="1" outlineLevel="1" x14ac:dyDescent="0.15">
      <c r="A75" s="665">
        <v>107</v>
      </c>
      <c r="B75" s="760" t="str">
        <f>IF(ISNUMBER(SEARCH("UV",D65)),"UV-C COMPONENTS",IF(ISNUMBER(SEARCH("CMW",D65)),"WATERWASH COMPONENTS",""))</f>
        <v/>
      </c>
      <c r="C75" s="761" t="str">
        <f>IF(H63=0,"UVR",IF(I65=0,"UVR",IF(I75&gt;0,("UVR")&amp;(INDEX('Base Costs'!$AH$5:$AI$10,(MATCH((I65/H63),'Base Costs'!$AI$5:$AI$10,-1)),1))&amp;("-")&amp;(H63),"UVR")))</f>
        <v>UVR</v>
      </c>
      <c r="D75" s="769" t="str">
        <f>VLOOKUP(C75,'Base Costs'!$Z$4:$AF$77,7,FALSE)&amp;" m³/s"</f>
        <v xml:space="preserve"> m³/s</v>
      </c>
      <c r="E75" s="763" t="str">
        <f>IF(ISNUMBER(SEARCH("L",C75)),"LONG RACK IN SECTION","SHORTRACK")</f>
        <v>SHORTRACK</v>
      </c>
      <c r="F75" s="764" t="str">
        <f>IF(ISNUMBER(SEARCH("L",C75)),ROUND(F65/H65,1)&amp;" mm","")</f>
        <v/>
      </c>
      <c r="G75" s="754"/>
      <c r="H75" s="754"/>
      <c r="I75" s="751">
        <f>IF(ISNUMBER(SEARCH("UV",D65)),1, 0)</f>
        <v>0</v>
      </c>
      <c r="J75" s="735">
        <f>IF(ISNA(C75),0,VLOOKUP(C75,'Base Costs'!$Z$4:$AF$77,2,FALSE))</f>
        <v>0</v>
      </c>
      <c r="K75" s="736">
        <f t="shared" ref="K75" si="19">J75*1</f>
        <v>0</v>
      </c>
      <c r="L75" s="737">
        <v>0.44</v>
      </c>
      <c r="M75" s="738">
        <f t="shared" si="15"/>
        <v>0</v>
      </c>
      <c r="N75" s="736">
        <f>M75*VLOOKUP($B$9,'Base Costs'!$A$32:$B$37,2,FALSE)</f>
        <v>0</v>
      </c>
      <c r="O75" s="739">
        <f t="shared" si="18"/>
        <v>0</v>
      </c>
      <c r="S75" s="693"/>
      <c r="Y75" s="672"/>
    </row>
    <row r="76" spans="1:26" ht="15" hidden="1" customHeight="1" outlineLevel="1" x14ac:dyDescent="0.15">
      <c r="B76" s="730" t="str">
        <f>IF(ISNUMBER(SEARCH("UV",D65)),"UV-C 2ND FILTER",IF(ISNUMBER(SEARCH("CMW",D65)),"CONTROL PANEL",""))</f>
        <v/>
      </c>
      <c r="C76" s="758" t="s">
        <v>588</v>
      </c>
      <c r="D76" s="760" t="str">
        <f>IF(ISNUMBER(SEARCH("CP1S",$C76)),"Up to 12m of canopy","")</f>
        <v/>
      </c>
      <c r="E76" s="760" t="str">
        <f>IF(ISNUMBER(SEARCH("CMW",$D65)),"CWS REQUIREMENT @ 2Bar","")</f>
        <v/>
      </c>
      <c r="F76" s="765" t="str">
        <f>IF(ISNUMBER(SEARCH("CMW",$D65)),$F65/1000*0.02&amp;" L/S","")</f>
        <v/>
      </c>
      <c r="G76" s="754"/>
      <c r="H76" s="750"/>
      <c r="I76" s="751">
        <f>C73</f>
        <v>0</v>
      </c>
      <c r="J76" s="735">
        <f>IF(ISNUMBER(SEARCH("CMW",D65)),VLOOKUP(C76,CCBASE!$A$81:$B$85,2,FALSE),(IF(I75&gt;0,'Base Costs'!$R$7,0)))</f>
        <v>0</v>
      </c>
      <c r="K76" s="736">
        <f>J76*C73</f>
        <v>0</v>
      </c>
      <c r="L76" s="737">
        <v>0.44</v>
      </c>
      <c r="M76" s="738">
        <f t="shared" si="15"/>
        <v>0</v>
      </c>
      <c r="N76" s="736">
        <f>M76*VLOOKUP($B$9,'Base Costs'!$A$32:$B$37,2,FALSE)</f>
        <v>0</v>
      </c>
      <c r="O76" s="739">
        <f t="shared" si="18"/>
        <v>0</v>
      </c>
      <c r="S76" s="693"/>
      <c r="Y76" s="672"/>
    </row>
    <row r="77" spans="1:26" ht="15" hidden="1" customHeight="1" outlineLevel="1" x14ac:dyDescent="0.15">
      <c r="A77" s="665">
        <v>285</v>
      </c>
      <c r="B77" s="730" t="str">
        <f>IF(ISNUMBER(SEARCH("UV",D65)),"UV-C WORKSHOP WIRING",IF(ISNUMBER(SEARCH("CMW",D65)),"W/W PODS",""))</f>
        <v/>
      </c>
      <c r="C77" s="758" t="s">
        <v>714</v>
      </c>
      <c r="D77" s="758">
        <v>0</v>
      </c>
      <c r="E77" s="760" t="str">
        <f>IF(ISNUMBER(SEARCH("CMW",$D65)),"HWS REQUIREMENT @ 60°C ","")</f>
        <v/>
      </c>
      <c r="F77" s="766" t="str">
        <f>IF(ISNUMBER(SEARCH("CMW",$D65)),$F65/1000*0.103&amp;" L/S","")</f>
        <v/>
      </c>
      <c r="G77" s="754"/>
      <c r="H77" s="750"/>
      <c r="I77" s="751">
        <f>IF(I75&gt;0,H63,0)</f>
        <v>0</v>
      </c>
      <c r="J77" s="735">
        <f>IF(ISNUMBER(SEARCH("CMW",D65)),VLOOKUP(C77,'Base Costs'!$Q$35:$R$45,2,FALSE),IF(I77=0,0,36*1.03))</f>
        <v>0</v>
      </c>
      <c r="K77" s="736">
        <f>IF(ISNUMBER(SEARCH("CMW",D65)),J77*D77,J77*H63)</f>
        <v>0</v>
      </c>
      <c r="L77" s="737">
        <v>0.44</v>
      </c>
      <c r="M77" s="738">
        <f t="shared" si="15"/>
        <v>0</v>
      </c>
      <c r="N77" s="736">
        <f>M77*VLOOKUP($B$9,'Base Costs'!$A$32:$B$37,2,FALSE)</f>
        <v>0</v>
      </c>
      <c r="O77" s="739">
        <f t="shared" si="18"/>
        <v>0</v>
      </c>
      <c r="S77" s="693"/>
      <c r="Y77" s="672"/>
    </row>
    <row r="78" spans="1:26" ht="15" hidden="1" customHeight="1" outlineLevel="1" x14ac:dyDescent="0.15">
      <c r="A78" s="665">
        <v>286</v>
      </c>
      <c r="B78" s="730" t="str">
        <f>IF(ISNUMBER(SEARCH("CMW",$D65)),"CWS/HWS PIPEWORK UP TO 5M",IF(ISNUMBER(SEARCH("UV",$D65)),"MU5 INTERFACE", ""))</f>
        <v/>
      </c>
      <c r="C78" s="758">
        <v>1</v>
      </c>
      <c r="D78" s="767"/>
      <c r="E78" s="760" t="str">
        <f>IF(ISNUMBER(SEARCH("CMW",$D65)),"HW STORAGE 3m wash","")</f>
        <v/>
      </c>
      <c r="F78" s="765" t="str">
        <f>IF(ISNUMBER(SEARCH("CMW",$D65)),($F65/1000)*0.103*180&amp;" L","")</f>
        <v/>
      </c>
      <c r="G78" s="749"/>
      <c r="H78" s="750"/>
      <c r="I78" s="751">
        <f>IF(I75=0,0,1)</f>
        <v>0</v>
      </c>
      <c r="J78" s="735">
        <f>IF(B78="CWS/HWS PIPEWORK UP TO 5M",CCBASE!$B$65,IF(I78=0,0,100*1.44))</f>
        <v>0</v>
      </c>
      <c r="K78" s="736">
        <f>J78*C78</f>
        <v>0</v>
      </c>
      <c r="L78" s="737">
        <v>0.44</v>
      </c>
      <c r="M78" s="738">
        <f t="shared" si="15"/>
        <v>0</v>
      </c>
      <c r="N78" s="736">
        <f>M78*VLOOKUP($B$9,'Base Costs'!$A$32:$B$37,2,FALSE)</f>
        <v>0</v>
      </c>
      <c r="O78" s="739">
        <f t="shared" si="18"/>
        <v>0</v>
      </c>
      <c r="S78" s="693"/>
      <c r="Y78" s="672"/>
    </row>
    <row r="79" spans="1:26" ht="15" customHeight="1" collapsed="1" x14ac:dyDescent="0.15">
      <c r="B79" s="713"/>
      <c r="C79" s="770"/>
      <c r="E79" s="770"/>
      <c r="F79" s="770"/>
      <c r="G79" s="715" t="s">
        <v>347</v>
      </c>
      <c r="H79" s="714"/>
      <c r="I79" s="715">
        <f>IF(ISNUMBER(SEARCH("UV",D82)),49.7,71.75)</f>
        <v>71.75</v>
      </c>
      <c r="J79" s="716"/>
      <c r="K79" s="771"/>
      <c r="L79" s="772"/>
      <c r="M79" s="771"/>
      <c r="N79" s="771"/>
      <c r="S79" s="693"/>
      <c r="Y79" s="672"/>
    </row>
    <row r="80" spans="1:26" s="673" customFormat="1" ht="15" customHeight="1" x14ac:dyDescent="0.15">
      <c r="A80" s="665"/>
      <c r="B80" s="241" t="s">
        <v>604</v>
      </c>
      <c r="C80" s="719">
        <f>IF(H80&lt;1,0,(((VLOOKUP(G80,CC!$D$2:$F$670,3,FALSE))*H80)+IF(ISNUMBER(SEARCH("CMW",D82)),VLOOKUP(C93,CCBASE!$A$81:$C$85,3,FALSE),0)+(VLOOKUP(C85,CCBASE!$A$53:$C$73,3,FALSE)*D85)+(VLOOKUP(C86,CCBASE!$A$53:$C$73,3,FALSE)*D86))&amp;" HRS")</f>
        <v>0</v>
      </c>
      <c r="D80" s="720" t="str">
        <f>D82</f>
        <v>CANOPY TYPE</v>
      </c>
      <c r="E80" s="701">
        <f>CEILING(IF(C82="WALL",E82, (E82/2)),250)</f>
        <v>0</v>
      </c>
      <c r="F80" s="701">
        <f>IF(H80&lt;1,0,CEILING((F82-100)/H82,250))</f>
        <v>0</v>
      </c>
      <c r="G80" s="720" t="str">
        <f>D80&amp;F80&amp;E80</f>
        <v>CANOPY TYPE00</v>
      </c>
      <c r="H80" s="719">
        <f>IF(E82=0,0,IF(F82=0,0,(E82/(IF(C82="WALL",E82,(E82/2)))*H82)))</f>
        <v>0</v>
      </c>
      <c r="I80" s="719" t="str">
        <f>I82&amp;" m³/s"</f>
        <v xml:space="preserve"> m³/s</v>
      </c>
      <c r="J80" s="721"/>
      <c r="K80" s="722">
        <f>SUBTOTAL(9,K82:K95)</f>
        <v>0</v>
      </c>
      <c r="L80" s="703" t="str">
        <f>IF(K80=0,"-",O80/M80)</f>
        <v>-</v>
      </c>
      <c r="M80" s="722">
        <f>SUBTOTAL(9,M82:M95)</f>
        <v>0</v>
      </c>
      <c r="N80" s="704">
        <f>SUBTOTAL(9,N82:N95)</f>
        <v>0</v>
      </c>
      <c r="O80" s="722">
        <f>SUBTOTAL(9,O82:O95)</f>
        <v>0</v>
      </c>
      <c r="P80" s="217"/>
      <c r="Q80" s="672"/>
      <c r="R80" s="672"/>
      <c r="S80" s="712"/>
      <c r="T80" s="672"/>
      <c r="X80" s="672"/>
      <c r="Y80" s="672"/>
      <c r="Z80" s="672"/>
    </row>
    <row r="81" spans="1:25" ht="15" hidden="1" customHeight="1" outlineLevel="1" x14ac:dyDescent="0.15">
      <c r="B81" s="723"/>
      <c r="C81" s="724" t="s">
        <v>198</v>
      </c>
      <c r="D81" s="725" t="s">
        <v>255</v>
      </c>
      <c r="E81" s="724" t="s">
        <v>128</v>
      </c>
      <c r="F81" s="724" t="s">
        <v>129</v>
      </c>
      <c r="G81" s="724" t="s">
        <v>172</v>
      </c>
      <c r="H81" s="724" t="s">
        <v>197</v>
      </c>
      <c r="I81" s="725" t="s">
        <v>256</v>
      </c>
      <c r="J81" s="726"/>
      <c r="K81" s="727"/>
      <c r="L81" s="727"/>
      <c r="M81" s="728"/>
      <c r="N81" s="729"/>
      <c r="O81" s="711"/>
      <c r="S81" s="693"/>
      <c r="Y81" s="672"/>
    </row>
    <row r="82" spans="1:25" ht="15" hidden="1" customHeight="1" outlineLevel="1" x14ac:dyDescent="0.2">
      <c r="A82" s="665">
        <v>210</v>
      </c>
      <c r="B82" s="730" t="s">
        <v>182</v>
      </c>
      <c r="C82" s="731" t="s">
        <v>183</v>
      </c>
      <c r="D82" s="858" t="s">
        <v>130</v>
      </c>
      <c r="E82" s="733"/>
      <c r="F82" s="733"/>
      <c r="G82" s="733"/>
      <c r="H82" s="734"/>
      <c r="I82" s="733"/>
      <c r="J82" s="735">
        <f>IF(ISNA(C80),0,IF(F80&gt;3000,0,(IF(H80&lt;1,0,((VLOOKUP(G80,CC!$D$2:$E$670,2,FALSE))*H80)+((VLOOKUP(G80,CC!$D$2:$AD$670,17,FALSE)*(H80/H82)))))))</f>
        <v>0</v>
      </c>
      <c r="K82" s="736">
        <f>J82*1</f>
        <v>0</v>
      </c>
      <c r="L82" s="737">
        <v>0.44</v>
      </c>
      <c r="M82" s="738">
        <f t="shared" ref="M82:M95" si="20">K82/(1-L82)*(1+$C$9)</f>
        <v>0</v>
      </c>
      <c r="N82" s="736">
        <f>M82*VLOOKUP($B$9,'Base Costs'!$A$32:$B$37,2,FALSE)</f>
        <v>0</v>
      </c>
      <c r="O82" s="739">
        <f t="shared" ref="O82:O86" si="21">M82-K82</f>
        <v>0</v>
      </c>
      <c r="S82" s="693"/>
      <c r="Y82" s="672"/>
    </row>
    <row r="83" spans="1:25" ht="15" hidden="1" customHeight="1" outlineLevel="1" x14ac:dyDescent="0.15">
      <c r="A83" s="665">
        <v>104</v>
      </c>
      <c r="B83" s="730" t="s">
        <v>4</v>
      </c>
      <c r="C83" s="732" t="s">
        <v>185</v>
      </c>
      <c r="D83" s="740"/>
      <c r="E83" s="741"/>
      <c r="F83" s="742"/>
      <c r="G83" s="743"/>
      <c r="H83" s="667"/>
      <c r="I83" s="667"/>
      <c r="J83" s="735">
        <f>IF(ISNA(C80),0,IF(D83=0,0,IF(C83="FLO",VLOOKUP(E83,'Base Costs'!$M$4:$N$14,2,FALSE),IF(C83="LED STRIP",VLOOKUP(E83,'Base Costs'!$M$4:$N$14,2,FALSE),(VLOOKUP(C83,'Base Costs'!$M$4:$N$14,2,FALSE))))))</f>
        <v>0</v>
      </c>
      <c r="K83" s="736"/>
      <c r="L83" s="737">
        <v>0.31</v>
      </c>
      <c r="M83" s="738">
        <f t="shared" si="20"/>
        <v>0</v>
      </c>
      <c r="N83" s="736">
        <f>M83*VLOOKUP($B$9,'Base Costs'!$A$32:$B$37,2,FALSE)</f>
        <v>0</v>
      </c>
      <c r="O83" s="739">
        <f t="shared" si="21"/>
        <v>0</v>
      </c>
      <c r="P83" s="744"/>
      <c r="S83" s="693"/>
      <c r="Y83" s="672"/>
    </row>
    <row r="84" spans="1:25" ht="15" hidden="1" customHeight="1" outlineLevel="1" x14ac:dyDescent="0.15">
      <c r="A84" s="665">
        <v>234</v>
      </c>
      <c r="B84" s="269" t="s">
        <v>1054</v>
      </c>
      <c r="C84" s="745" t="s">
        <v>839</v>
      </c>
      <c r="D84" s="746"/>
      <c r="E84" s="747"/>
      <c r="F84" s="748"/>
      <c r="G84" s="749"/>
      <c r="H84" s="750"/>
      <c r="I84" s="751">
        <v>1</v>
      </c>
      <c r="J84" s="735">
        <f>VLOOKUP(C84,'Base Costs'!$U$4:$V$41,2,FALSE)</f>
        <v>0</v>
      </c>
      <c r="K84" s="736">
        <f t="shared" ref="K84" si="22">J84*1</f>
        <v>0</v>
      </c>
      <c r="L84" s="737">
        <v>0.35</v>
      </c>
      <c r="M84" s="738">
        <f t="shared" si="20"/>
        <v>0</v>
      </c>
      <c r="N84" s="736">
        <f>M84*VLOOKUP($B$9,'Base Costs'!$A$32:$B$37,2,FALSE)</f>
        <v>0</v>
      </c>
      <c r="O84" s="739">
        <f t="shared" si="21"/>
        <v>0</v>
      </c>
      <c r="S84" s="693"/>
      <c r="Y84" s="672"/>
    </row>
    <row r="85" spans="1:25" ht="15" hidden="1" customHeight="1" outlineLevel="1" x14ac:dyDescent="0.15">
      <c r="B85" s="269" t="s">
        <v>339</v>
      </c>
      <c r="C85" s="752" t="s">
        <v>342</v>
      </c>
      <c r="D85" s="734"/>
      <c r="E85" s="753" t="str">
        <f>IF(C85="","",VLOOKUP(C85,CCBASE!$A$53:$D$73,4,FALSE))</f>
        <v/>
      </c>
      <c r="F85" s="754"/>
      <c r="G85" s="749"/>
      <c r="H85" s="750"/>
      <c r="I85" s="755"/>
      <c r="J85" s="735">
        <f>IF(C85="",0,VLOOKUP(C85,CCBASE!$A$53:$C$73,2,FALSE))</f>
        <v>0</v>
      </c>
      <c r="K85" s="736">
        <f>J85*D85</f>
        <v>0</v>
      </c>
      <c r="L85" s="737">
        <v>0.44</v>
      </c>
      <c r="M85" s="738">
        <f t="shared" ref="M85" si="23">K85/(1-L85)*(1+$C$9)</f>
        <v>0</v>
      </c>
      <c r="N85" s="736">
        <f>M85*VLOOKUP($B$9,'Base Costs'!$A$32:$B$37,2,FALSE)</f>
        <v>0</v>
      </c>
      <c r="O85" s="739">
        <f t="shared" ref="O85" si="24">M85-K85</f>
        <v>0</v>
      </c>
      <c r="S85" s="693"/>
      <c r="Y85" s="672"/>
    </row>
    <row r="86" spans="1:25" ht="15" hidden="1" customHeight="1" outlineLevel="1" x14ac:dyDescent="0.15">
      <c r="B86" s="984" t="s">
        <v>339</v>
      </c>
      <c r="C86" s="985" t="s">
        <v>1366</v>
      </c>
      <c r="D86" s="986"/>
      <c r="E86" s="987" t="str">
        <f>IF(C86="","",VLOOKUP(C86,CCBASE!$A$53:$D$73,4,FALSE))</f>
        <v>SECTION(S) OF CANOPY</v>
      </c>
      <c r="F86" s="988"/>
      <c r="G86" s="983"/>
      <c r="H86" s="989"/>
      <c r="I86" s="990"/>
      <c r="J86" s="991">
        <f>IF(C86="",0,VLOOKUP(C86,CCBASE!$A$53:$C$73,2,FALSE))</f>
        <v>50</v>
      </c>
      <c r="K86" s="992">
        <f>J86*D86</f>
        <v>0</v>
      </c>
      <c r="L86" s="993">
        <v>0.44</v>
      </c>
      <c r="M86" s="994">
        <f t="shared" si="20"/>
        <v>0</v>
      </c>
      <c r="N86" s="992">
        <f>M86*VLOOKUP($B$9,'Base Costs'!$A$32:$B$37,2,FALSE)</f>
        <v>0</v>
      </c>
      <c r="O86" s="995">
        <f t="shared" si="21"/>
        <v>0</v>
      </c>
      <c r="P86" s="996" t="s">
        <v>1416</v>
      </c>
      <c r="S86" s="693"/>
      <c r="Y86" s="672"/>
    </row>
    <row r="87" spans="1:25" ht="15" hidden="1" customHeight="1" outlineLevel="1" x14ac:dyDescent="0.15">
      <c r="A87" s="665">
        <v>289</v>
      </c>
      <c r="B87" s="730" t="s">
        <v>9</v>
      </c>
      <c r="C87" s="752" t="s">
        <v>565</v>
      </c>
      <c r="D87" s="756">
        <f>ROUNDUP($F82/1000,0)</f>
        <v>0</v>
      </c>
      <c r="E87" s="1107" t="s">
        <v>1059</v>
      </c>
      <c r="F87" s="1105"/>
      <c r="G87" s="754"/>
      <c r="H87" s="750"/>
      <c r="I87" s="755"/>
      <c r="J87" s="735">
        <f>IF(D87=0,0,VLOOKUP(C87,'Base Costs'!$A$19:$B$22,2,FALSE))</f>
        <v>0</v>
      </c>
      <c r="K87" s="736">
        <f>J87*D87</f>
        <v>0</v>
      </c>
      <c r="L87" s="737">
        <v>0.44</v>
      </c>
      <c r="M87" s="738">
        <f t="shared" si="20"/>
        <v>0</v>
      </c>
      <c r="N87" s="736">
        <f>M87*VLOOKUP($B$9,'Base Costs'!$A$32:$B$37,2,FALSE)</f>
        <v>0</v>
      </c>
      <c r="O87" s="739">
        <f>M87-K87</f>
        <v>0</v>
      </c>
      <c r="S87" s="693"/>
      <c r="Y87" s="672"/>
    </row>
    <row r="88" spans="1:25" ht="15" hidden="1" customHeight="1" outlineLevel="1" x14ac:dyDescent="0.15">
      <c r="A88" s="665">
        <v>242</v>
      </c>
      <c r="B88" s="730" t="s">
        <v>44</v>
      </c>
      <c r="C88" s="752"/>
      <c r="D88" s="741" t="s">
        <v>335</v>
      </c>
      <c r="E88" s="749" t="s">
        <v>718</v>
      </c>
      <c r="F88" s="748"/>
      <c r="G88" s="749"/>
      <c r="H88" s="750"/>
      <c r="I88" s="755"/>
      <c r="J88" s="735">
        <f>IF(C88=0,0,'Base Costs'!$B$26)</f>
        <v>0</v>
      </c>
      <c r="K88" s="736">
        <f>J88*C88</f>
        <v>0</v>
      </c>
      <c r="L88" s="737">
        <v>0.44</v>
      </c>
      <c r="M88" s="738">
        <f t="shared" si="20"/>
        <v>0</v>
      </c>
      <c r="N88" s="736">
        <f>M88*VLOOKUP($B$9,'Base Costs'!$A$32:$B$37,2,FALSE)</f>
        <v>0</v>
      </c>
      <c r="O88" s="739">
        <f t="shared" ref="O88:O95" si="25">M88-K88</f>
        <v>0</v>
      </c>
      <c r="S88" s="693"/>
      <c r="Y88" s="672"/>
    </row>
    <row r="89" spans="1:25" ht="15" hidden="1" customHeight="1" outlineLevel="1" x14ac:dyDescent="0.15">
      <c r="A89" s="665">
        <v>220</v>
      </c>
      <c r="B89" s="730" t="s">
        <v>43</v>
      </c>
      <c r="C89" s="752"/>
      <c r="D89" s="741" t="s">
        <v>336</v>
      </c>
      <c r="E89" s="748"/>
      <c r="F89" s="748"/>
      <c r="G89" s="757" t="str">
        <f>IF(ISNUMBER(SEARCH("KSA",$D90)),"MAX. EXTRACT (m³/s)", "")</f>
        <v/>
      </c>
      <c r="H89" s="1102" t="str">
        <f>IF(ISNUMBER(SEARCH("MUAP",$D82)),"MAX.  SUPPLY (m³/s)",IF(ISNUMBER(SEARCH("SPECIAL",$D82)),"MAX.  SUPPLY (m³/s)",(IF(ISNUMBER(SEARCH("F",$D82)),"MAX.  SUPPLY (m³/s)",""))))</f>
        <v/>
      </c>
      <c r="I89" s="1102"/>
      <c r="J89" s="735">
        <f>IF(C89=0,0,'Base Costs'!$B$29)</f>
        <v>0</v>
      </c>
      <c r="K89" s="736">
        <f>J89*C89</f>
        <v>0</v>
      </c>
      <c r="L89" s="737">
        <v>0.44</v>
      </c>
      <c r="M89" s="738">
        <f t="shared" si="20"/>
        <v>0</v>
      </c>
      <c r="N89" s="736">
        <f>M89*VLOOKUP($B$9,'Base Costs'!$A$32:$B$37,2,FALSE)</f>
        <v>0</v>
      </c>
      <c r="O89" s="739">
        <f t="shared" si="25"/>
        <v>0</v>
      </c>
      <c r="S89" s="693"/>
      <c r="Y89" s="672"/>
    </row>
    <row r="90" spans="1:25" ht="15" hidden="1" customHeight="1" outlineLevel="1" x14ac:dyDescent="0.15">
      <c r="A90" s="665">
        <v>103</v>
      </c>
      <c r="B90" s="730" t="s">
        <v>3</v>
      </c>
      <c r="C90" s="740">
        <f>IF(ISNUMBER(SEARCH("CMW",D82)),1,IF(F80=0,0,(ROUNDDOWN(((((F82-(100+(50*H80))))/H82)/500),0)*H80)))</f>
        <v>0</v>
      </c>
      <c r="D90" s="741" t="str">
        <f>VLOOKUP(D82,'Base Costs'!$A$39:$B$58,2,FALSE)</f>
        <v>FILTER TYPE</v>
      </c>
      <c r="E90" s="758" t="str">
        <f>IF(C90=0,0,IF(D90="KSA",ROUND(I82/C90,3),""))&amp; "  m³/s per filter"</f>
        <v>0  m³/s per filter</v>
      </c>
      <c r="F90" s="758" t="str">
        <f>IF(C90=0," Pa",ROUND((((I82*3600)/(C90*I79))^2),1)+20&amp; " Pa")</f>
        <v xml:space="preserve"> Pa</v>
      </c>
      <c r="G90" s="759" t="str">
        <f>IF(ISNUMBER(SEARCH("KSA",$D90)),$C90*0.25, "")</f>
        <v/>
      </c>
      <c r="H90" s="1103" t="str">
        <f>IF(ISNUMBER(SEARCH("MUAP",$D82)),0.225*($F82/1000),IF(ISNUMBER(SEARCH("SPECIAL",$D82)),0.225*($F82/1000),(IF(ISNUMBER(SEARCH("F",$D82)),0.225*($F82/1000),""))))</f>
        <v/>
      </c>
      <c r="I90" s="1103"/>
      <c r="J90" s="735">
        <f>IF(ISNA(D90),0,(VLOOKUP(D90,'Base Costs'!$Q$4:$R$11,2,FALSE)))</f>
        <v>0</v>
      </c>
      <c r="K90" s="736">
        <f>IF(ISNA(D90),0,IF(D90="MX",J90*1,J90*C90))</f>
        <v>0</v>
      </c>
      <c r="L90" s="737">
        <v>0.44</v>
      </c>
      <c r="M90" s="738">
        <f t="shared" si="20"/>
        <v>0</v>
      </c>
      <c r="N90" s="736">
        <f>M90*VLOOKUP($B$9,'Base Costs'!$A$32:$B$37,2,FALSE)</f>
        <v>0</v>
      </c>
      <c r="O90" s="739">
        <f t="shared" si="25"/>
        <v>0</v>
      </c>
      <c r="S90" s="693"/>
      <c r="Y90" s="672"/>
    </row>
    <row r="91" spans="1:25" ht="15" hidden="1" customHeight="1" outlineLevel="1" x14ac:dyDescent="0.15">
      <c r="B91" s="269" t="s">
        <v>1351</v>
      </c>
      <c r="C91" s="740">
        <v>0</v>
      </c>
      <c r="D91" s="856" t="str">
        <f>VLOOKUP(D82,'Base Costs'!$A$39:$C$58,3,FALSE)</f>
        <v>PSU</v>
      </c>
      <c r="E91" s="758" t="str">
        <f>IF(C91=0,0,IF(D91="PSU",ROUND(I82/C91,3),""))&amp; " m³/s per filter"</f>
        <v>0 m³/s per filter</v>
      </c>
      <c r="F91" s="758" t="str">
        <f>IF(C91=0," Pa",ROUND((((I82*3600)/(C91*I79))^2),1)+20&amp; " Pa")</f>
        <v xml:space="preserve"> Pa</v>
      </c>
      <c r="G91" s="759" t="str">
        <f>IF(ISNUMBER(SEARCH("KSA",$D91)),$C91*0.25, "")</f>
        <v/>
      </c>
      <c r="H91" s="1103" t="str">
        <f>IF(ISNUMBER(SEARCH("MUAP",$D82)),0.225*($F82/1000),IF(ISNUMBER(SEARCH("SPECIAL",$D82)),0.225*($F82/1000),(IF(ISNUMBER(SEARCH("F",$D82)),0.225*($F82/1000),""))))</f>
        <v/>
      </c>
      <c r="I91" s="1103"/>
      <c r="J91" s="735">
        <f>IF(ISNA(D91),0,(VLOOKUP(D91,'Base Costs'!$Q$4:$R$13,2,FALSE)))</f>
        <v>112.678</v>
      </c>
      <c r="K91" s="736">
        <f>IF(ISNA(D91),0,IF(D91="MX",J91*1,J91*C91))</f>
        <v>0</v>
      </c>
      <c r="L91" s="737">
        <v>0.44</v>
      </c>
      <c r="M91" s="738">
        <f t="shared" si="20"/>
        <v>0</v>
      </c>
      <c r="N91" s="736">
        <f>M91*VLOOKUP($B$9,'Base Costs'!$A$32:$B$37,2,FALSE)</f>
        <v>0</v>
      </c>
      <c r="O91" s="739">
        <f t="shared" si="25"/>
        <v>0</v>
      </c>
      <c r="S91" s="693"/>
      <c r="Y91" s="672"/>
    </row>
    <row r="92" spans="1:25" ht="15" hidden="1" customHeight="1" outlineLevel="1" x14ac:dyDescent="0.15">
      <c r="A92" s="665">
        <v>107</v>
      </c>
      <c r="B92" s="760" t="str">
        <f>IF(ISNUMBER(SEARCH("UV",D82)),"UV-C COMPONENTS",IF(ISNUMBER(SEARCH("CMW",D82)),"WATERWASH COMPONENTS",""))</f>
        <v/>
      </c>
      <c r="C92" s="761" t="str">
        <f>IF(H80=0,"UVR",IF(I82=0,"UVR",IF(I92&gt;0,("UVR")&amp;(INDEX('Base Costs'!$AH$5:$AI$10,(MATCH((I82/H80),'Base Costs'!$AI$5:$AI$10,-1)),1))&amp;("-")&amp;(H80),"UVR")))</f>
        <v>UVR</v>
      </c>
      <c r="D92" s="769" t="str">
        <f>VLOOKUP(C92,'Base Costs'!$Z$4:$AF$77,7,FALSE)&amp;" m³/s"</f>
        <v xml:space="preserve"> m³/s</v>
      </c>
      <c r="E92" s="763" t="str">
        <f>IF(ISNUMBER(SEARCH("L",C92)),"LONG RACK IN SECTION","SHORTRACK")</f>
        <v>SHORTRACK</v>
      </c>
      <c r="F92" s="764" t="str">
        <f>IF(ISNUMBER(SEARCH("L",C92)),ROUND(F82/H82,1)&amp;" mm","")</f>
        <v/>
      </c>
      <c r="G92" s="754"/>
      <c r="H92" s="754"/>
      <c r="I92" s="751">
        <f>IF(ISNUMBER(SEARCH("UV",D82)),1, 0)</f>
        <v>0</v>
      </c>
      <c r="J92" s="735">
        <f>IF(ISNA(C92),0,VLOOKUP(C92,'Base Costs'!$Z$4:$AF$77,2,FALSE))</f>
        <v>0</v>
      </c>
      <c r="K92" s="736">
        <f t="shared" ref="K92" si="26">J92*1</f>
        <v>0</v>
      </c>
      <c r="L92" s="737">
        <v>0.44</v>
      </c>
      <c r="M92" s="738">
        <f t="shared" si="20"/>
        <v>0</v>
      </c>
      <c r="N92" s="736">
        <f>M92*VLOOKUP($B$9,'Base Costs'!$A$32:$B$37,2,FALSE)</f>
        <v>0</v>
      </c>
      <c r="O92" s="739">
        <f t="shared" si="25"/>
        <v>0</v>
      </c>
      <c r="S92" s="693"/>
      <c r="Y92" s="672"/>
    </row>
    <row r="93" spans="1:25" ht="15" hidden="1" customHeight="1" outlineLevel="1" x14ac:dyDescent="0.15">
      <c r="B93" s="730" t="str">
        <f>IF(ISNUMBER(SEARCH("UV",D82)),"UV-C 2ND FILTER",IF(ISNUMBER(SEARCH("CMW",D82)),"CONTROL PANEL",""))</f>
        <v/>
      </c>
      <c r="C93" s="758" t="s">
        <v>588</v>
      </c>
      <c r="D93" s="760" t="str">
        <f>IF(ISNUMBER(SEARCH("CP1S",$C93)),"Up to 12m of canopy","")</f>
        <v/>
      </c>
      <c r="E93" s="760" t="str">
        <f>IF(ISNUMBER(SEARCH("CMW",$D82)),"CWS REQUIREMENT @ 2Bar","")</f>
        <v/>
      </c>
      <c r="F93" s="765" t="str">
        <f>IF(ISNUMBER(SEARCH("CMW",$D82)),$F82/1000*0.02&amp;" L/S","")</f>
        <v/>
      </c>
      <c r="G93" s="754"/>
      <c r="H93" s="750"/>
      <c r="I93" s="751">
        <f>C90</f>
        <v>0</v>
      </c>
      <c r="J93" s="735">
        <f>IF(ISNUMBER(SEARCH("CMW",D82)),VLOOKUP(C93,CCBASE!$A$81:$B$85,2,FALSE),(IF(I92&gt;0,'Base Costs'!$R$7,0)))</f>
        <v>0</v>
      </c>
      <c r="K93" s="736">
        <f>J93*C90</f>
        <v>0</v>
      </c>
      <c r="L93" s="737">
        <v>0.44</v>
      </c>
      <c r="M93" s="738">
        <f t="shared" si="20"/>
        <v>0</v>
      </c>
      <c r="N93" s="736">
        <f>M93*VLOOKUP($B$9,'Base Costs'!$A$32:$B$37,2,FALSE)</f>
        <v>0</v>
      </c>
      <c r="O93" s="739">
        <f t="shared" si="25"/>
        <v>0</v>
      </c>
      <c r="S93" s="693"/>
      <c r="Y93" s="672"/>
    </row>
    <row r="94" spans="1:25" ht="15" hidden="1" customHeight="1" outlineLevel="1" x14ac:dyDescent="0.15">
      <c r="A94" s="665">
        <v>285</v>
      </c>
      <c r="B94" s="730" t="str">
        <f>IF(ISNUMBER(SEARCH("UV",D82)),"UV-C WORKSHOP WIRING",IF(ISNUMBER(SEARCH("CMW",D82)),"W/W PODS",""))</f>
        <v/>
      </c>
      <c r="C94" s="758" t="s">
        <v>714</v>
      </c>
      <c r="D94" s="758">
        <v>0</v>
      </c>
      <c r="E94" s="760" t="str">
        <f>IF(ISNUMBER(SEARCH("CMW",$D82)),"HWS REQUIREMENT @ 60°C ","")</f>
        <v/>
      </c>
      <c r="F94" s="766" t="str">
        <f>IF(ISNUMBER(SEARCH("CMW",$D82)),$F82/1000*0.103&amp;" L/S","")</f>
        <v/>
      </c>
      <c r="G94" s="754"/>
      <c r="H94" s="750"/>
      <c r="I94" s="751">
        <f>IF(I92&gt;0,H80,0)</f>
        <v>0</v>
      </c>
      <c r="J94" s="735">
        <f>IF(ISNUMBER(SEARCH("CMW",D82)),VLOOKUP(C94,'Base Costs'!$Q$35:$R$45,2,FALSE),IF(I94=0,0,36*1.03))</f>
        <v>0</v>
      </c>
      <c r="K94" s="736">
        <f>IF(ISNUMBER(SEARCH("CMW",D82)),J94*D94,J94*H80)</f>
        <v>0</v>
      </c>
      <c r="L94" s="737">
        <v>0.44</v>
      </c>
      <c r="M94" s="738">
        <f t="shared" si="20"/>
        <v>0</v>
      </c>
      <c r="N94" s="736">
        <f>M94*VLOOKUP($B$9,'Base Costs'!$A$32:$B$37,2,FALSE)</f>
        <v>0</v>
      </c>
      <c r="O94" s="739">
        <f t="shared" si="25"/>
        <v>0</v>
      </c>
      <c r="S94" s="693"/>
      <c r="Y94" s="672"/>
    </row>
    <row r="95" spans="1:25" ht="15" hidden="1" customHeight="1" outlineLevel="1" x14ac:dyDescent="0.15">
      <c r="A95" s="665">
        <v>286</v>
      </c>
      <c r="B95" s="730" t="str">
        <f>IF(ISNUMBER(SEARCH("CMW",$D82)),"CWS/HWS PIPEWORK UP TO 5M",IF(ISNUMBER(SEARCH("UV",$D82)),"MU5 INTERFACE", ""))</f>
        <v/>
      </c>
      <c r="C95" s="758">
        <v>1</v>
      </c>
      <c r="D95" s="767"/>
      <c r="E95" s="760" t="str">
        <f>IF(ISNUMBER(SEARCH("CMW",$D82)),"HW STORAGE 3m wash","")</f>
        <v/>
      </c>
      <c r="F95" s="765" t="str">
        <f>IF(ISNUMBER(SEARCH("CMW",$D82)),($F82/1000)*0.103*180&amp;" L","")</f>
        <v/>
      </c>
      <c r="G95" s="749"/>
      <c r="H95" s="750"/>
      <c r="I95" s="751">
        <f>IF(I92=0,0,1)</f>
        <v>0</v>
      </c>
      <c r="J95" s="735">
        <f>IF(B95="CWS/HWS PIPEWORK UP TO 5M",CCBASE!$B$65,IF(I95=0,0,100*1.44))</f>
        <v>0</v>
      </c>
      <c r="K95" s="736">
        <f>J95*C95</f>
        <v>0</v>
      </c>
      <c r="L95" s="737">
        <v>0.44</v>
      </c>
      <c r="M95" s="738">
        <f t="shared" si="20"/>
        <v>0</v>
      </c>
      <c r="N95" s="736">
        <f>M95*VLOOKUP($B$9,'Base Costs'!$A$32:$B$37,2,FALSE)</f>
        <v>0</v>
      </c>
      <c r="O95" s="739">
        <f t="shared" si="25"/>
        <v>0</v>
      </c>
      <c r="S95" s="693"/>
      <c r="Y95" s="672"/>
    </row>
    <row r="96" spans="1:25" ht="15" customHeight="1" collapsed="1" x14ac:dyDescent="0.15">
      <c r="B96" s="713"/>
      <c r="C96" s="770"/>
      <c r="E96" s="770"/>
      <c r="F96" s="770"/>
      <c r="G96" s="715" t="s">
        <v>347</v>
      </c>
      <c r="H96" s="714"/>
      <c r="I96" s="715">
        <f>IF(ISNUMBER(SEARCH("UV",D99)),49.7,71.75)</f>
        <v>71.75</v>
      </c>
      <c r="J96" s="716"/>
      <c r="K96" s="771"/>
      <c r="L96" s="772"/>
      <c r="M96" s="771"/>
      <c r="N96" s="771"/>
      <c r="S96" s="693"/>
      <c r="Y96" s="672"/>
    </row>
    <row r="97" spans="1:26" s="673" customFormat="1" ht="15" customHeight="1" x14ac:dyDescent="0.15">
      <c r="A97" s="665"/>
      <c r="B97" s="241" t="s">
        <v>604</v>
      </c>
      <c r="C97" s="719">
        <f>IF(H97&lt;1,0,(((VLOOKUP(G97,CC!$D$2:$F$670,3,FALSE))*H97)+IF(ISNUMBER(SEARCH("CMW",D99)),VLOOKUP(C110,CCBASE!$A$81:$C$85,3,FALSE),0)+(VLOOKUP(C102,CCBASE!$A$53:$C$73,3,FALSE)*D102)+(VLOOKUP(C103,CCBASE!$A$53:$C$73,3,FALSE)*D103))&amp;" HRS")</f>
        <v>0</v>
      </c>
      <c r="D97" s="720" t="str">
        <f>D99</f>
        <v>CANOPY TYPE</v>
      </c>
      <c r="E97" s="701">
        <f>CEILING(IF(C99="WALL",E99, (E99/2)),250)</f>
        <v>0</v>
      </c>
      <c r="F97" s="701">
        <f>IF(H97&lt;1,0,CEILING((F99-100)/H99,250))</f>
        <v>0</v>
      </c>
      <c r="G97" s="720" t="str">
        <f>D97&amp;F97&amp;E97</f>
        <v>CANOPY TYPE00</v>
      </c>
      <c r="H97" s="719">
        <f>IF(E99=0,0,IF(F99=0,0,(E99/(IF(C99="WALL",E99,(E99/2)))*H99)))</f>
        <v>0</v>
      </c>
      <c r="I97" s="719" t="str">
        <f>I99&amp;" m³/s"</f>
        <v xml:space="preserve"> m³/s</v>
      </c>
      <c r="J97" s="721"/>
      <c r="K97" s="722">
        <f>SUBTOTAL(9,K99:K112)</f>
        <v>0</v>
      </c>
      <c r="L97" s="703" t="str">
        <f>IF(K97=0,"-",O97/M97)</f>
        <v>-</v>
      </c>
      <c r="M97" s="722">
        <f>SUBTOTAL(9,M99:M112)</f>
        <v>0</v>
      </c>
      <c r="N97" s="704">
        <f>SUBTOTAL(9,N99:N112)</f>
        <v>0</v>
      </c>
      <c r="O97" s="722">
        <f>SUBTOTAL(9,O99:O112)</f>
        <v>0</v>
      </c>
      <c r="P97" s="672"/>
      <c r="Q97" s="672"/>
      <c r="R97" s="672"/>
      <c r="S97" s="712"/>
      <c r="T97" s="672"/>
      <c r="X97" s="672"/>
      <c r="Y97" s="672"/>
      <c r="Z97" s="672"/>
    </row>
    <row r="98" spans="1:26" ht="15" hidden="1" customHeight="1" outlineLevel="1" x14ac:dyDescent="0.15">
      <c r="B98" s="723"/>
      <c r="C98" s="724" t="s">
        <v>198</v>
      </c>
      <c r="D98" s="725" t="s">
        <v>255</v>
      </c>
      <c r="E98" s="724" t="s">
        <v>128</v>
      </c>
      <c r="F98" s="724" t="s">
        <v>129</v>
      </c>
      <c r="G98" s="724" t="s">
        <v>172</v>
      </c>
      <c r="H98" s="724" t="s">
        <v>197</v>
      </c>
      <c r="I98" s="725" t="s">
        <v>256</v>
      </c>
      <c r="J98" s="726"/>
      <c r="K98" s="727"/>
      <c r="L98" s="727"/>
      <c r="M98" s="728"/>
      <c r="N98" s="729"/>
      <c r="O98" s="711"/>
      <c r="S98" s="693"/>
      <c r="Y98" s="672"/>
    </row>
    <row r="99" spans="1:26" ht="15" hidden="1" customHeight="1" outlineLevel="1" x14ac:dyDescent="0.2">
      <c r="A99" s="665">
        <v>210</v>
      </c>
      <c r="B99" s="730" t="s">
        <v>182</v>
      </c>
      <c r="C99" s="731" t="s">
        <v>183</v>
      </c>
      <c r="D99" s="732" t="s">
        <v>130</v>
      </c>
      <c r="E99" s="733"/>
      <c r="F99" s="733"/>
      <c r="G99" s="733"/>
      <c r="H99" s="734"/>
      <c r="I99" s="733"/>
      <c r="J99" s="735">
        <f>IF(ISNA(C97),0,IF(F97&gt;3000,0,(IF(H97&lt;1,0,((VLOOKUP(G97,CC!$D$2:$E$670,2,FALSE))*H97)+((VLOOKUP(G97,CC!$D$2:$AD$670,17,FALSE)*(H97/H99)))))))</f>
        <v>0</v>
      </c>
      <c r="K99" s="736">
        <f>J99*1</f>
        <v>0</v>
      </c>
      <c r="L99" s="737">
        <v>0.44</v>
      </c>
      <c r="M99" s="738">
        <f t="shared" ref="M99:M112" si="27">K99/(1-L99)*(1+$C$9)</f>
        <v>0</v>
      </c>
      <c r="N99" s="736">
        <f>M99*VLOOKUP($B$9,'Base Costs'!$A$32:$B$37,2,FALSE)</f>
        <v>0</v>
      </c>
      <c r="O99" s="739">
        <f t="shared" ref="O99:O103" si="28">M99-K99</f>
        <v>0</v>
      </c>
      <c r="S99" s="693"/>
      <c r="Y99" s="672"/>
    </row>
    <row r="100" spans="1:26" ht="15" hidden="1" customHeight="1" outlineLevel="1" x14ac:dyDescent="0.15">
      <c r="A100" s="665">
        <v>104</v>
      </c>
      <c r="B100" s="730" t="s">
        <v>4</v>
      </c>
      <c r="C100" s="732" t="s">
        <v>185</v>
      </c>
      <c r="D100" s="740"/>
      <c r="E100" s="741"/>
      <c r="F100" s="742"/>
      <c r="G100" s="743"/>
      <c r="H100" s="667"/>
      <c r="I100" s="667"/>
      <c r="J100" s="735">
        <f>IF(ISNA(C97),0,IF(D100=0,0,IF(C100="FLO",VLOOKUP(E100,'Base Costs'!$M$4:$N$14,2,FALSE),IF(C100="LED STRIP",VLOOKUP(E100,'Base Costs'!$M$4:$N$14,2,FALSE),(VLOOKUP(C100,'Base Costs'!$M$4:$N$14,2,FALSE))))))</f>
        <v>0</v>
      </c>
      <c r="K100" s="736">
        <f>J100*D100</f>
        <v>0</v>
      </c>
      <c r="L100" s="737">
        <v>0.31</v>
      </c>
      <c r="M100" s="738">
        <f t="shared" si="27"/>
        <v>0</v>
      </c>
      <c r="N100" s="736">
        <f>M100*VLOOKUP($B$9,'Base Costs'!$A$32:$B$37,2,FALSE)</f>
        <v>0</v>
      </c>
      <c r="O100" s="739">
        <f t="shared" si="28"/>
        <v>0</v>
      </c>
      <c r="P100" s="744"/>
      <c r="S100" s="693"/>
      <c r="Y100" s="672"/>
    </row>
    <row r="101" spans="1:26" ht="15" hidden="1" customHeight="1" outlineLevel="1" x14ac:dyDescent="0.15">
      <c r="A101" s="665">
        <v>234</v>
      </c>
      <c r="B101" s="269" t="s">
        <v>839</v>
      </c>
      <c r="C101" s="745" t="s">
        <v>839</v>
      </c>
      <c r="D101" s="746"/>
      <c r="E101" s="747"/>
      <c r="F101" s="748"/>
      <c r="G101" s="749"/>
      <c r="H101" s="750"/>
      <c r="I101" s="751">
        <v>1</v>
      </c>
      <c r="J101" s="735">
        <f>VLOOKUP(C101,'Base Costs'!$U$4:$V$41,2,FALSE)</f>
        <v>0</v>
      </c>
      <c r="K101" s="736">
        <f t="shared" ref="K101" si="29">J101*1</f>
        <v>0</v>
      </c>
      <c r="L101" s="737">
        <v>0.35</v>
      </c>
      <c r="M101" s="738">
        <f t="shared" si="27"/>
        <v>0</v>
      </c>
      <c r="N101" s="736">
        <f>M101*VLOOKUP($B$9,'Base Costs'!$A$32:$B$37,2,FALSE)</f>
        <v>0</v>
      </c>
      <c r="O101" s="739">
        <f t="shared" si="28"/>
        <v>0</v>
      </c>
      <c r="S101" s="693"/>
      <c r="Y101" s="672"/>
    </row>
    <row r="102" spans="1:26" ht="15" hidden="1" customHeight="1" outlineLevel="1" x14ac:dyDescent="0.15">
      <c r="B102" s="583" t="s">
        <v>339</v>
      </c>
      <c r="C102" s="33" t="s">
        <v>342</v>
      </c>
      <c r="D102" s="734"/>
      <c r="E102" s="753" t="str">
        <f>IF(C102="","",VLOOKUP(C102,CCBASE!$A$53:$D$73,4,FALSE))</f>
        <v/>
      </c>
      <c r="F102" s="754"/>
      <c r="G102" s="749"/>
      <c r="H102" s="750"/>
      <c r="I102" s="755"/>
      <c r="J102" s="735">
        <f>IF(C102="",0,VLOOKUP(C102,CCBASE!$A$53:$C$73,2,FALSE))</f>
        <v>0</v>
      </c>
      <c r="K102" s="736">
        <f>J102*D102</f>
        <v>0</v>
      </c>
      <c r="L102" s="737">
        <v>0.44</v>
      </c>
      <c r="M102" s="738">
        <f t="shared" si="27"/>
        <v>0</v>
      </c>
      <c r="N102" s="736">
        <f>M102*VLOOKUP($B$9,'Base Costs'!$A$32:$B$37,2,FALSE)</f>
        <v>0</v>
      </c>
      <c r="O102" s="739">
        <f t="shared" si="28"/>
        <v>0</v>
      </c>
      <c r="S102" s="693"/>
      <c r="Y102" s="672"/>
    </row>
    <row r="103" spans="1:26" ht="15" hidden="1" customHeight="1" outlineLevel="1" x14ac:dyDescent="0.15">
      <c r="B103" s="997" t="s">
        <v>339</v>
      </c>
      <c r="C103" s="998" t="s">
        <v>1366</v>
      </c>
      <c r="D103" s="986"/>
      <c r="E103" s="987" t="str">
        <f>IF(C103="","",VLOOKUP(C103,CCBASE!$A$53:$D$73,4,FALSE))</f>
        <v>SECTION(S) OF CANOPY</v>
      </c>
      <c r="F103" s="988"/>
      <c r="G103" s="983"/>
      <c r="H103" s="989"/>
      <c r="I103" s="990"/>
      <c r="J103" s="991">
        <f>IF(C103="",0,VLOOKUP(C103,CCBASE!$A$53:$C$73,2,FALSE))</f>
        <v>50</v>
      </c>
      <c r="K103" s="992">
        <f>J103*D103</f>
        <v>0</v>
      </c>
      <c r="L103" s="993">
        <v>0.44</v>
      </c>
      <c r="M103" s="994">
        <f t="shared" si="27"/>
        <v>0</v>
      </c>
      <c r="N103" s="992">
        <f>M103*VLOOKUP($B$9,'Base Costs'!$A$32:$B$37,2,FALSE)</f>
        <v>0</v>
      </c>
      <c r="O103" s="995">
        <f t="shared" si="28"/>
        <v>0</v>
      </c>
      <c r="P103" s="996" t="s">
        <v>1416</v>
      </c>
      <c r="S103" s="693"/>
      <c r="Y103" s="672"/>
    </row>
    <row r="104" spans="1:26" ht="15" hidden="1" customHeight="1" outlineLevel="1" x14ac:dyDescent="0.15">
      <c r="A104" s="665">
        <v>289</v>
      </c>
      <c r="B104" s="583" t="s">
        <v>9</v>
      </c>
      <c r="C104" s="33" t="s">
        <v>565</v>
      </c>
      <c r="D104" s="756">
        <f>ROUNDUP($F99/1000,0)</f>
        <v>0</v>
      </c>
      <c r="E104" s="1107" t="s">
        <v>1059</v>
      </c>
      <c r="F104" s="1105"/>
      <c r="G104" s="754"/>
      <c r="H104" s="750"/>
      <c r="I104" s="755"/>
      <c r="J104" s="735">
        <f>IF(D104=0,0,VLOOKUP(C104,'Base Costs'!$A$19:$B$22,2,FALSE))</f>
        <v>0</v>
      </c>
      <c r="K104" s="736">
        <f>J104*D104</f>
        <v>0</v>
      </c>
      <c r="L104" s="737">
        <v>0.44</v>
      </c>
      <c r="M104" s="738">
        <f t="shared" si="27"/>
        <v>0</v>
      </c>
      <c r="N104" s="736">
        <f>M104*VLOOKUP($B$9,'Base Costs'!$A$32:$B$37,2,FALSE)</f>
        <v>0</v>
      </c>
      <c r="O104" s="739">
        <f>M104-K104</f>
        <v>0</v>
      </c>
      <c r="S104" s="693"/>
      <c r="Y104" s="672"/>
    </row>
    <row r="105" spans="1:26" ht="15" hidden="1" customHeight="1" outlineLevel="1" x14ac:dyDescent="0.15">
      <c r="A105" s="665">
        <v>242</v>
      </c>
      <c r="B105" s="583" t="s">
        <v>44</v>
      </c>
      <c r="C105" s="752"/>
      <c r="D105" s="741" t="s">
        <v>335</v>
      </c>
      <c r="E105" s="749"/>
      <c r="F105" s="748"/>
      <c r="G105" s="749"/>
      <c r="H105" s="750"/>
      <c r="I105" s="755"/>
      <c r="J105" s="735">
        <f>IF(C105=0,0,'Base Costs'!$B$26)</f>
        <v>0</v>
      </c>
      <c r="K105" s="736">
        <f>J105*C105</f>
        <v>0</v>
      </c>
      <c r="L105" s="737">
        <v>0.44</v>
      </c>
      <c r="M105" s="738">
        <f t="shared" si="27"/>
        <v>0</v>
      </c>
      <c r="N105" s="736">
        <f>M105*VLOOKUP($B$9,'Base Costs'!$A$32:$B$37,2,FALSE)</f>
        <v>0</v>
      </c>
      <c r="O105" s="739">
        <f t="shared" ref="O105:O112" si="30">M105-K105</f>
        <v>0</v>
      </c>
      <c r="S105" s="693"/>
      <c r="Y105" s="672"/>
    </row>
    <row r="106" spans="1:26" ht="15" hidden="1" customHeight="1" outlineLevel="1" x14ac:dyDescent="0.15">
      <c r="A106" s="665">
        <v>220</v>
      </c>
      <c r="B106" s="730" t="s">
        <v>43</v>
      </c>
      <c r="C106" s="752"/>
      <c r="D106" s="741" t="s">
        <v>336</v>
      </c>
      <c r="E106" s="748"/>
      <c r="F106" s="748"/>
      <c r="G106" s="757" t="str">
        <f>IF(ISNUMBER(SEARCH("KSA",$D107)),"MAX. EXTRACT (m³/s)", "")</f>
        <v/>
      </c>
      <c r="H106" s="1102" t="str">
        <f>IF(ISNUMBER(SEARCH("MUAP",$D99)),"MAX.  SUPPLY (m³/s)",IF(ISNUMBER(SEARCH("SPECIAL",$D99)),"MAX.  SUPPLY (m³/s)",(IF(ISNUMBER(SEARCH("F",$D99)),"MAX.  SUPPLY (m³/s)",""))))</f>
        <v/>
      </c>
      <c r="I106" s="1102"/>
      <c r="J106" s="735">
        <f>IF(C106=0,0,'Base Costs'!$B$29)</f>
        <v>0</v>
      </c>
      <c r="K106" s="736">
        <f>J106*C106</f>
        <v>0</v>
      </c>
      <c r="L106" s="737">
        <v>0.44</v>
      </c>
      <c r="M106" s="738">
        <f t="shared" si="27"/>
        <v>0</v>
      </c>
      <c r="N106" s="736">
        <f>M106*VLOOKUP($B$9,'Base Costs'!$A$32:$B$37,2,FALSE)</f>
        <v>0</v>
      </c>
      <c r="O106" s="739">
        <f t="shared" si="30"/>
        <v>0</v>
      </c>
      <c r="S106" s="693"/>
      <c r="Y106" s="672"/>
    </row>
    <row r="107" spans="1:26" ht="15" hidden="1" customHeight="1" outlineLevel="1" x14ac:dyDescent="0.15">
      <c r="A107" s="665">
        <v>103</v>
      </c>
      <c r="B107" s="730" t="s">
        <v>3</v>
      </c>
      <c r="C107" s="740">
        <f>IF(ISNUMBER(SEARCH("CMW",D99)),1,IF(F97=0,0,(ROUNDDOWN(((((F99-(100+(50*H97))))/H99)/500),0)*H97)))</f>
        <v>0</v>
      </c>
      <c r="D107" s="741" t="str">
        <f>VLOOKUP(D99,'Base Costs'!$A$39:$B$58,2,FALSE)</f>
        <v>FILTER TYPE</v>
      </c>
      <c r="E107" s="758" t="str">
        <f>IF(C107=0,0,IF(D107="KSA",ROUND(I99/C107,3),""))&amp; "  m³/s per filter"</f>
        <v>0  m³/s per filter</v>
      </c>
      <c r="F107" s="758" t="str">
        <f>IF(C107=0," Pa",ROUND((((I99*3600)/(C107*I96))^2),1)+20&amp; " Pa")</f>
        <v xml:space="preserve"> Pa</v>
      </c>
      <c r="G107" s="759" t="str">
        <f>IF(ISNUMBER(SEARCH("KSA",$D107)),$C107*0.25, "")</f>
        <v/>
      </c>
      <c r="H107" s="1103" t="str">
        <f>IF(ISNUMBER(SEARCH("MUAP",$D99)),0.225*($F99/1000),IF(ISNUMBER(SEARCH("SPECIAL",$D99)),0.225*($F99/1000),(IF(ISNUMBER(SEARCH("F",$D99)),0.225*($F99/1000),""))))</f>
        <v/>
      </c>
      <c r="I107" s="1103"/>
      <c r="J107" s="735">
        <f>IF(ISNA(D107),0,(VLOOKUP(D107,'Base Costs'!$Q$4:$R$11,2,FALSE)))</f>
        <v>0</v>
      </c>
      <c r="K107" s="736">
        <f>IF(ISNA(D107),0,IF(D107="MX",J107*1,J107*C107))</f>
        <v>0</v>
      </c>
      <c r="L107" s="737">
        <v>0.44</v>
      </c>
      <c r="M107" s="738">
        <f t="shared" si="27"/>
        <v>0</v>
      </c>
      <c r="N107" s="736">
        <f>M107*VLOOKUP($B$9,'Base Costs'!$A$32:$B$37,2,FALSE)</f>
        <v>0</v>
      </c>
      <c r="O107" s="739">
        <f t="shared" si="30"/>
        <v>0</v>
      </c>
      <c r="S107" s="693"/>
      <c r="Y107" s="672"/>
    </row>
    <row r="108" spans="1:26" ht="15" hidden="1" customHeight="1" outlineLevel="1" x14ac:dyDescent="0.15">
      <c r="B108" s="269" t="s">
        <v>1351</v>
      </c>
      <c r="C108" s="740">
        <v>0</v>
      </c>
      <c r="D108" s="856" t="str">
        <f>VLOOKUP(D99,'Base Costs'!$A$39:$C$58,3,FALSE)</f>
        <v>PSU</v>
      </c>
      <c r="E108" s="758" t="str">
        <f>IF(C108=0,0,IF(D108="PSU",ROUND(I99/C108,3),""))&amp; " m³/s per filter"</f>
        <v>0 m³/s per filter</v>
      </c>
      <c r="F108" s="758" t="str">
        <f>IF(C108=0," Pa",ROUND((((I99*3600)/(C108*I96))^2),1)+20&amp; " Pa")</f>
        <v xml:space="preserve"> Pa</v>
      </c>
      <c r="G108" s="759" t="str">
        <f>IF(ISNUMBER(SEARCH("KSA",$D108)),$C108*0.25, "")</f>
        <v/>
      </c>
      <c r="H108" s="1103" t="str">
        <f>IF(ISNUMBER(SEARCH("MUAP",$D99)),0.225*($F99/1000),IF(ISNUMBER(SEARCH("SPECIAL",$D99)),0.225*($F99/1000),(IF(ISNUMBER(SEARCH("F",$D99)),0.225*($F99/1000),""))))</f>
        <v/>
      </c>
      <c r="I108" s="1103"/>
      <c r="J108" s="735">
        <f>IF(ISNA(D108),0,(VLOOKUP(D108,'Base Costs'!$Q$4:$R$13,2,FALSE)))</f>
        <v>112.678</v>
      </c>
      <c r="K108" s="736">
        <f>IF(ISNA(D108),0,IF(D108="MX",J108*1,J108*C108))</f>
        <v>0</v>
      </c>
      <c r="L108" s="737">
        <v>0.44</v>
      </c>
      <c r="M108" s="738">
        <f t="shared" si="27"/>
        <v>0</v>
      </c>
      <c r="N108" s="736">
        <f>M108*VLOOKUP($B$9,'Base Costs'!$A$32:$B$37,2,FALSE)</f>
        <v>0</v>
      </c>
      <c r="O108" s="739">
        <f t="shared" si="30"/>
        <v>0</v>
      </c>
      <c r="S108" s="693"/>
      <c r="Y108" s="672"/>
    </row>
    <row r="109" spans="1:26" ht="15" hidden="1" customHeight="1" outlineLevel="1" x14ac:dyDescent="0.15">
      <c r="A109" s="665">
        <v>107</v>
      </c>
      <c r="B109" s="760" t="str">
        <f>IF(ISNUMBER(SEARCH("UV",D99)),"UV-C COMPONENTS",IF(ISNUMBER(SEARCH("CMW",D99)),"WATERWASH COMPONENTS",""))</f>
        <v/>
      </c>
      <c r="C109" s="761" t="str">
        <f>IF(H97=0,"UVR",IF(I99=0,"UVR",IF(I109&gt;0,("UVR")&amp;(INDEX('Base Costs'!$AH$5:$AI$10,(MATCH((I99/H97),'Base Costs'!$AI$5:$AI$10,-1)),1))&amp;("-")&amp;(H97),"UVR")))</f>
        <v>UVR</v>
      </c>
      <c r="D109" s="769" t="str">
        <f>VLOOKUP(C109,'Base Costs'!$Z$4:$AF$77,7,FALSE)&amp;" m³/s"</f>
        <v xml:space="preserve"> m³/s</v>
      </c>
      <c r="E109" s="763" t="str">
        <f>IF(ISNUMBER(SEARCH("L",C109)),"LONG RACK IN SECTION","SHORTRACK")</f>
        <v>SHORTRACK</v>
      </c>
      <c r="F109" s="764" t="str">
        <f>IF(ISNUMBER(SEARCH("L",C109)),ROUND(F99/H99,1)&amp;" mm","")</f>
        <v/>
      </c>
      <c r="G109" s="754"/>
      <c r="H109" s="754"/>
      <c r="I109" s="751">
        <f>IF(ISNUMBER(SEARCH("UV",D99)),1, 0)</f>
        <v>0</v>
      </c>
      <c r="J109" s="735">
        <f>IF(ISNA(C109),0,VLOOKUP(C109,'Base Costs'!$Z$4:$AF$77,2,FALSE))</f>
        <v>0</v>
      </c>
      <c r="K109" s="736">
        <f t="shared" ref="K109" si="31">J109*1</f>
        <v>0</v>
      </c>
      <c r="L109" s="737">
        <v>0.44</v>
      </c>
      <c r="M109" s="738">
        <f t="shared" si="27"/>
        <v>0</v>
      </c>
      <c r="N109" s="736">
        <f>M109*VLOOKUP($B$9,'Base Costs'!$A$32:$B$37,2,FALSE)</f>
        <v>0</v>
      </c>
      <c r="O109" s="739">
        <f t="shared" si="30"/>
        <v>0</v>
      </c>
      <c r="S109" s="693"/>
      <c r="Y109" s="672"/>
    </row>
    <row r="110" spans="1:26" ht="15" hidden="1" customHeight="1" outlineLevel="1" x14ac:dyDescent="0.15">
      <c r="B110" s="730" t="str">
        <f>IF(ISNUMBER(SEARCH("UV",D99)),"UV-C 2ND FILTER",IF(ISNUMBER(SEARCH("CMW",D99)),"CONTROL PANEL",""))</f>
        <v/>
      </c>
      <c r="C110" s="758" t="s">
        <v>588</v>
      </c>
      <c r="D110" s="760" t="str">
        <f>IF(ISNUMBER(SEARCH("CP1S",$C110)),"Up to 12m of canopy","")</f>
        <v/>
      </c>
      <c r="E110" s="760" t="str">
        <f>IF(ISNUMBER(SEARCH("CMW",$D99)),"CWS REQUIREMENT @ 2Bar","")</f>
        <v/>
      </c>
      <c r="F110" s="765" t="str">
        <f>IF(ISNUMBER(SEARCH("CMW",$D99)),$F99/1000*0.02&amp;" L/S","")</f>
        <v/>
      </c>
      <c r="G110" s="754"/>
      <c r="H110" s="750"/>
      <c r="I110" s="751">
        <f>C107</f>
        <v>0</v>
      </c>
      <c r="J110" s="735">
        <f>IF(ISNUMBER(SEARCH("CMW",D99)),VLOOKUP(C110,CCBASE!$A$81:$B$85,2,FALSE),(IF(I109&gt;0,'Base Costs'!$R$7,0)))</f>
        <v>0</v>
      </c>
      <c r="K110" s="736">
        <f>J110*C107</f>
        <v>0</v>
      </c>
      <c r="L110" s="737">
        <v>0.44</v>
      </c>
      <c r="M110" s="738">
        <f t="shared" si="27"/>
        <v>0</v>
      </c>
      <c r="N110" s="736">
        <f>M110*VLOOKUP($B$9,'Base Costs'!$A$32:$B$37,2,FALSE)</f>
        <v>0</v>
      </c>
      <c r="O110" s="739">
        <f t="shared" si="30"/>
        <v>0</v>
      </c>
      <c r="S110" s="693"/>
      <c r="Y110" s="672"/>
    </row>
    <row r="111" spans="1:26" ht="15" hidden="1" customHeight="1" outlineLevel="1" x14ac:dyDescent="0.15">
      <c r="A111" s="665">
        <v>285</v>
      </c>
      <c r="B111" s="730" t="str">
        <f>IF(ISNUMBER(SEARCH("UV",D99)),"UV-C WORKSHOP WIRING",IF(ISNUMBER(SEARCH("CMW",D99)),"W/W PODS",""))</f>
        <v/>
      </c>
      <c r="C111" s="758" t="s">
        <v>714</v>
      </c>
      <c r="D111" s="758">
        <v>0</v>
      </c>
      <c r="E111" s="760" t="str">
        <f>IF(ISNUMBER(SEARCH("CMW",$D99)),"HWS REQUIREMENT @ 60°C ","")</f>
        <v/>
      </c>
      <c r="F111" s="766" t="str">
        <f>IF(ISNUMBER(SEARCH("CMW",$D99)),$F99/1000*0.103&amp;" L/S","")</f>
        <v/>
      </c>
      <c r="G111" s="754"/>
      <c r="H111" s="750"/>
      <c r="I111" s="751">
        <f>IF(I109&gt;0,H97,0)</f>
        <v>0</v>
      </c>
      <c r="J111" s="735">
        <f>IF(ISNUMBER(SEARCH("CMW",D99)),VLOOKUP(C111,'Base Costs'!$Q$35:$R$45,2,FALSE),IF(I111=0,0,36*1.03))</f>
        <v>0</v>
      </c>
      <c r="K111" s="736">
        <f>IF(ISNUMBER(SEARCH("CMW",D99)),J111*D111,J111*H97)</f>
        <v>0</v>
      </c>
      <c r="L111" s="737">
        <v>0.44</v>
      </c>
      <c r="M111" s="738">
        <f t="shared" si="27"/>
        <v>0</v>
      </c>
      <c r="N111" s="736">
        <f>M111*VLOOKUP($B$9,'Base Costs'!$A$32:$B$37,2,FALSE)</f>
        <v>0</v>
      </c>
      <c r="O111" s="739">
        <f t="shared" si="30"/>
        <v>0</v>
      </c>
      <c r="S111" s="693"/>
      <c r="Y111" s="672"/>
    </row>
    <row r="112" spans="1:26" ht="15" hidden="1" customHeight="1" outlineLevel="1" x14ac:dyDescent="0.15">
      <c r="A112" s="665">
        <v>286</v>
      </c>
      <c r="B112" s="730" t="str">
        <f>IF(ISNUMBER(SEARCH("CMW",$D99)),"CWS/HWS PIPEWORK UP TO 5M",IF(ISNUMBER(SEARCH("UV",$D99)),"MU5 INTERFACE", ""))</f>
        <v/>
      </c>
      <c r="C112" s="758">
        <v>1</v>
      </c>
      <c r="D112" s="767"/>
      <c r="E112" s="760" t="str">
        <f>IF(ISNUMBER(SEARCH("CMW",$D99)),"HW STORAGE 3m wash","")</f>
        <v/>
      </c>
      <c r="F112" s="765" t="str">
        <f>IF(ISNUMBER(SEARCH("CMW",$D99)),($F99/1000)*0.103*180&amp;" L","")</f>
        <v/>
      </c>
      <c r="G112" s="749"/>
      <c r="H112" s="750"/>
      <c r="I112" s="751">
        <f>IF(I109=0,0,1)</f>
        <v>0</v>
      </c>
      <c r="J112" s="735">
        <f>IF(B112="CWS/HWS PIPEWORK UP TO 5M",CCBASE!$B$65,IF(I112=0,0,100*1.44))</f>
        <v>0</v>
      </c>
      <c r="K112" s="736">
        <f>J112*C112</f>
        <v>0</v>
      </c>
      <c r="L112" s="737">
        <v>0.44</v>
      </c>
      <c r="M112" s="738">
        <f t="shared" si="27"/>
        <v>0</v>
      </c>
      <c r="N112" s="736">
        <f>M112*VLOOKUP($B$9,'Base Costs'!$A$32:$B$37,2,FALSE)</f>
        <v>0</v>
      </c>
      <c r="O112" s="739">
        <f t="shared" si="30"/>
        <v>0</v>
      </c>
      <c r="S112" s="693"/>
      <c r="Y112" s="672"/>
    </row>
    <row r="113" spans="1:26" ht="15" customHeight="1" collapsed="1" x14ac:dyDescent="0.15">
      <c r="B113" s="713"/>
      <c r="C113" s="770"/>
      <c r="E113" s="770"/>
      <c r="F113" s="770"/>
      <c r="G113" s="715" t="s">
        <v>347</v>
      </c>
      <c r="H113" s="714"/>
      <c r="I113" s="715">
        <f>IF(ISNUMBER(SEARCH("UV",D116)),49.7,71.75)</f>
        <v>71.75</v>
      </c>
      <c r="J113" s="716"/>
      <c r="K113" s="771"/>
      <c r="L113" s="772"/>
      <c r="M113" s="771"/>
      <c r="N113" s="771"/>
      <c r="S113" s="693"/>
      <c r="Y113" s="672"/>
    </row>
    <row r="114" spans="1:26" s="673" customFormat="1" ht="15" customHeight="1" x14ac:dyDescent="0.15">
      <c r="A114" s="665"/>
      <c r="B114" s="241" t="s">
        <v>604</v>
      </c>
      <c r="C114" s="719">
        <f>IF(H114&lt;1,0,(((VLOOKUP(G114,CC!$D$2:$F$670,3,FALSE))*H114)+IF(ISNUMBER(SEARCH("CMW",D116)),VLOOKUP(C127,CCBASE!$A$81:$C$85,3,FALSE),0)+(VLOOKUP(C119,CCBASE!$A$53:$C$73,3,FALSE)*D119)+(VLOOKUP(C120,CCBASE!$A$53:$C$73,3,FALSE)*D120))&amp;" HRS")</f>
        <v>0</v>
      </c>
      <c r="D114" s="720" t="str">
        <f>D116</f>
        <v>CANOPY TYPE</v>
      </c>
      <c r="E114" s="701">
        <f>CEILING(IF(C116="WALL",E116, (E116/2)),250)</f>
        <v>0</v>
      </c>
      <c r="F114" s="701">
        <f>IF(H114&lt;1,0,CEILING((F116-100)/H116,250))</f>
        <v>0</v>
      </c>
      <c r="G114" s="720" t="str">
        <f>D114&amp;F114&amp;E114</f>
        <v>CANOPY TYPE00</v>
      </c>
      <c r="H114" s="719">
        <f>IF(E116=0,0,IF(F116=0,0,(E116/(IF(C116="WALL",E116,(E116/2)))*H116)))</f>
        <v>0</v>
      </c>
      <c r="I114" s="719" t="str">
        <f>I116&amp;" m³/s"</f>
        <v xml:space="preserve"> m³/s</v>
      </c>
      <c r="J114" s="721"/>
      <c r="K114" s="722">
        <f>SUBTOTAL(9,K116:K129)</f>
        <v>0</v>
      </c>
      <c r="L114" s="703" t="str">
        <f>IF(K114=0,"-",O114/M114)</f>
        <v>-</v>
      </c>
      <c r="M114" s="722">
        <f>SUBTOTAL(9,M116:M129)</f>
        <v>0</v>
      </c>
      <c r="N114" s="704">
        <f>SUBTOTAL(9,N116:N129)</f>
        <v>0</v>
      </c>
      <c r="O114" s="722">
        <f>SUBTOTAL(9,O116:O129)</f>
        <v>0</v>
      </c>
      <c r="P114" s="672"/>
      <c r="Q114" s="672"/>
      <c r="R114" s="672"/>
      <c r="S114" s="712"/>
      <c r="T114" s="672"/>
      <c r="X114" s="672"/>
      <c r="Y114" s="672"/>
      <c r="Z114" s="672"/>
    </row>
    <row r="115" spans="1:26" ht="15" hidden="1" customHeight="1" outlineLevel="1" x14ac:dyDescent="0.15">
      <c r="B115" s="723"/>
      <c r="C115" s="724" t="s">
        <v>198</v>
      </c>
      <c r="D115" s="725" t="s">
        <v>255</v>
      </c>
      <c r="E115" s="724" t="s">
        <v>128</v>
      </c>
      <c r="F115" s="724" t="s">
        <v>129</v>
      </c>
      <c r="G115" s="724" t="s">
        <v>172</v>
      </c>
      <c r="H115" s="724" t="s">
        <v>197</v>
      </c>
      <c r="I115" s="725" t="s">
        <v>256</v>
      </c>
      <c r="J115" s="726"/>
      <c r="K115" s="727"/>
      <c r="L115" s="727"/>
      <c r="M115" s="728"/>
      <c r="N115" s="729"/>
      <c r="O115" s="711"/>
      <c r="S115" s="693"/>
      <c r="Y115" s="672"/>
    </row>
    <row r="116" spans="1:26" ht="15" hidden="1" customHeight="1" outlineLevel="1" x14ac:dyDescent="0.2">
      <c r="A116" s="665">
        <v>210</v>
      </c>
      <c r="B116" s="730" t="s">
        <v>182</v>
      </c>
      <c r="C116" s="731" t="s">
        <v>183</v>
      </c>
      <c r="D116" s="732" t="s">
        <v>130</v>
      </c>
      <c r="E116" s="733"/>
      <c r="F116" s="733"/>
      <c r="G116" s="733"/>
      <c r="H116" s="734"/>
      <c r="I116" s="733"/>
      <c r="J116" s="735">
        <f>IF(ISNA(C114),0,IF(F114&gt;3000,0,(IF(H114&lt;1,0,((VLOOKUP(G114,CC!$D$2:$E$670,2,FALSE))*H114)+((VLOOKUP(G114,CC!$D$2:$AD$670,17,FALSE)*(H114/H116)))))))</f>
        <v>0</v>
      </c>
      <c r="K116" s="736">
        <f>J116*1</f>
        <v>0</v>
      </c>
      <c r="L116" s="737">
        <v>0.44</v>
      </c>
      <c r="M116" s="738">
        <f t="shared" ref="M116:M129" si="32">K116/(1-L116)*(1+$C$9)</f>
        <v>0</v>
      </c>
      <c r="N116" s="736">
        <f>M116*VLOOKUP($B$9,'Base Costs'!$A$32:$B$37,2,FALSE)</f>
        <v>0</v>
      </c>
      <c r="O116" s="739">
        <f t="shared" ref="O116:O120" si="33">M116-K116</f>
        <v>0</v>
      </c>
      <c r="S116" s="693"/>
      <c r="Y116" s="672"/>
    </row>
    <row r="117" spans="1:26" ht="15" hidden="1" customHeight="1" outlineLevel="1" x14ac:dyDescent="0.15">
      <c r="A117" s="665">
        <v>104</v>
      </c>
      <c r="B117" s="730" t="s">
        <v>4</v>
      </c>
      <c r="C117" s="732" t="s">
        <v>185</v>
      </c>
      <c r="D117" s="740"/>
      <c r="E117" s="741"/>
      <c r="F117" s="742"/>
      <c r="G117" s="743"/>
      <c r="H117" s="667"/>
      <c r="I117" s="667"/>
      <c r="J117" s="735">
        <f>IF(ISNA(C114),0,IF(D117=0,0,IF(C117="FLO",VLOOKUP(E117,'Base Costs'!$M$4:$N$14,2,FALSE),IF(C117="LED STRIP",VLOOKUP(E117,'Base Costs'!$M$4:$N$14,2,FALSE),(VLOOKUP(C117,'Base Costs'!$M$4:$N$14,2,FALSE))))))</f>
        <v>0</v>
      </c>
      <c r="K117" s="736">
        <f>J117*D117</f>
        <v>0</v>
      </c>
      <c r="L117" s="737">
        <v>0.31</v>
      </c>
      <c r="M117" s="738">
        <f t="shared" si="32"/>
        <v>0</v>
      </c>
      <c r="N117" s="736">
        <f>M117*VLOOKUP($B$9,'Base Costs'!$A$32:$B$37,2,FALSE)</f>
        <v>0</v>
      </c>
      <c r="O117" s="739">
        <f t="shared" si="33"/>
        <v>0</v>
      </c>
      <c r="P117" s="744"/>
      <c r="S117" s="693"/>
      <c r="Y117" s="672"/>
    </row>
    <row r="118" spans="1:26" ht="15" hidden="1" customHeight="1" outlineLevel="1" x14ac:dyDescent="0.15">
      <c r="A118" s="665">
        <v>234</v>
      </c>
      <c r="B118" s="269" t="s">
        <v>839</v>
      </c>
      <c r="C118" s="745" t="s">
        <v>839</v>
      </c>
      <c r="D118" s="746"/>
      <c r="E118" s="747"/>
      <c r="F118" s="748"/>
      <c r="G118" s="749"/>
      <c r="H118" s="750"/>
      <c r="I118" s="751">
        <v>1</v>
      </c>
      <c r="J118" s="735">
        <f>VLOOKUP(C118,'Base Costs'!$U$4:$V$41,2,FALSE)</f>
        <v>0</v>
      </c>
      <c r="K118" s="736">
        <f t="shared" ref="K118" si="34">J118*1</f>
        <v>0</v>
      </c>
      <c r="L118" s="737">
        <v>0.35</v>
      </c>
      <c r="M118" s="738">
        <f t="shared" si="32"/>
        <v>0</v>
      </c>
      <c r="N118" s="736">
        <f>M118*VLOOKUP($B$9,'Base Costs'!$A$32:$B$37,2,FALSE)</f>
        <v>0</v>
      </c>
      <c r="O118" s="739">
        <f t="shared" si="33"/>
        <v>0</v>
      </c>
      <c r="S118" s="693"/>
      <c r="Y118" s="672"/>
    </row>
    <row r="119" spans="1:26" ht="15" hidden="1" customHeight="1" outlineLevel="1" x14ac:dyDescent="0.15">
      <c r="B119" s="583" t="s">
        <v>339</v>
      </c>
      <c r="C119" s="33" t="s">
        <v>342</v>
      </c>
      <c r="D119" s="734"/>
      <c r="E119" s="753" t="str">
        <f>IF(C119="","",VLOOKUP(C119,CCBASE!$A$53:$D$73,4,FALSE))</f>
        <v/>
      </c>
      <c r="F119" s="754"/>
      <c r="G119" s="749"/>
      <c r="H119" s="750"/>
      <c r="I119" s="755"/>
      <c r="J119" s="735">
        <f>IF(C119="",0,VLOOKUP(C119,CCBASE!$A$53:$C$73,2,FALSE))</f>
        <v>0</v>
      </c>
      <c r="K119" s="736">
        <f>J119*D119</f>
        <v>0</v>
      </c>
      <c r="L119" s="737">
        <v>0.44</v>
      </c>
      <c r="M119" s="738">
        <f t="shared" si="32"/>
        <v>0</v>
      </c>
      <c r="N119" s="736">
        <f>M119*VLOOKUP($B$9,'Base Costs'!$A$32:$B$37,2,FALSE)</f>
        <v>0</v>
      </c>
      <c r="O119" s="739">
        <f t="shared" si="33"/>
        <v>0</v>
      </c>
      <c r="S119" s="693"/>
      <c r="Y119" s="672"/>
    </row>
    <row r="120" spans="1:26" ht="15" hidden="1" customHeight="1" outlineLevel="1" x14ac:dyDescent="0.15">
      <c r="B120" s="997" t="s">
        <v>339</v>
      </c>
      <c r="C120" s="998" t="s">
        <v>1366</v>
      </c>
      <c r="D120" s="986"/>
      <c r="E120" s="987" t="str">
        <f>IF(C120="","",VLOOKUP(C120,CCBASE!$A$53:$D$73,4,FALSE))</f>
        <v>SECTION(S) OF CANOPY</v>
      </c>
      <c r="F120" s="988"/>
      <c r="G120" s="983"/>
      <c r="H120" s="989"/>
      <c r="I120" s="990"/>
      <c r="J120" s="991">
        <f>IF(C120="",0,VLOOKUP(C120,CCBASE!$A$53:$C$73,2,FALSE))</f>
        <v>50</v>
      </c>
      <c r="K120" s="992">
        <f>J120*D120</f>
        <v>0</v>
      </c>
      <c r="L120" s="993">
        <v>0.44</v>
      </c>
      <c r="M120" s="994">
        <f t="shared" si="32"/>
        <v>0</v>
      </c>
      <c r="N120" s="992">
        <f>M120*VLOOKUP($B$9,'Base Costs'!$A$32:$B$37,2,FALSE)</f>
        <v>0</v>
      </c>
      <c r="O120" s="995">
        <f t="shared" si="33"/>
        <v>0</v>
      </c>
      <c r="P120" s="996" t="s">
        <v>1416</v>
      </c>
      <c r="S120" s="693"/>
      <c r="Y120" s="672"/>
    </row>
    <row r="121" spans="1:26" ht="15" hidden="1" customHeight="1" outlineLevel="1" x14ac:dyDescent="0.15">
      <c r="A121" s="665">
        <v>289</v>
      </c>
      <c r="B121" s="583" t="s">
        <v>9</v>
      </c>
      <c r="C121" s="33" t="s">
        <v>565</v>
      </c>
      <c r="D121" s="756">
        <f>ROUNDUP($F116/1000,0)</f>
        <v>0</v>
      </c>
      <c r="E121" s="1107" t="s">
        <v>1059</v>
      </c>
      <c r="F121" s="1105"/>
      <c r="G121" s="754"/>
      <c r="H121" s="750"/>
      <c r="I121" s="755"/>
      <c r="J121" s="735">
        <f>IF(D121=0,0,VLOOKUP(C121,'Base Costs'!$A$19:$B$22,2,FALSE))</f>
        <v>0</v>
      </c>
      <c r="K121" s="736">
        <f>J121*D121</f>
        <v>0</v>
      </c>
      <c r="L121" s="737">
        <v>0.44</v>
      </c>
      <c r="M121" s="738">
        <f t="shared" si="32"/>
        <v>0</v>
      </c>
      <c r="N121" s="736">
        <f>M121*VLOOKUP($B$9,'Base Costs'!$A$32:$B$37,2,FALSE)</f>
        <v>0</v>
      </c>
      <c r="O121" s="739">
        <f>M121-K121</f>
        <v>0</v>
      </c>
      <c r="S121" s="693"/>
      <c r="Y121" s="672"/>
    </row>
    <row r="122" spans="1:26" ht="15" hidden="1" customHeight="1" outlineLevel="1" x14ac:dyDescent="0.15">
      <c r="A122" s="665">
        <v>242</v>
      </c>
      <c r="B122" s="583" t="s">
        <v>44</v>
      </c>
      <c r="C122" s="752"/>
      <c r="D122" s="741" t="s">
        <v>335</v>
      </c>
      <c r="E122" s="749"/>
      <c r="F122" s="748"/>
      <c r="G122" s="749"/>
      <c r="H122" s="750"/>
      <c r="I122" s="755"/>
      <c r="J122" s="735">
        <f>IF(C122=0,0,'Base Costs'!$B$26)</f>
        <v>0</v>
      </c>
      <c r="K122" s="736">
        <f>J122*C122</f>
        <v>0</v>
      </c>
      <c r="L122" s="737">
        <v>0.44</v>
      </c>
      <c r="M122" s="738">
        <f t="shared" si="32"/>
        <v>0</v>
      </c>
      <c r="N122" s="736">
        <f>M122*VLOOKUP($B$9,'Base Costs'!$A$32:$B$37,2,FALSE)</f>
        <v>0</v>
      </c>
      <c r="O122" s="739">
        <f t="shared" ref="O122:O129" si="35">M122-K122</f>
        <v>0</v>
      </c>
      <c r="S122" s="693"/>
      <c r="Y122" s="672"/>
    </row>
    <row r="123" spans="1:26" ht="15" hidden="1" customHeight="1" outlineLevel="1" x14ac:dyDescent="0.15">
      <c r="A123" s="665">
        <v>220</v>
      </c>
      <c r="B123" s="730" t="s">
        <v>43</v>
      </c>
      <c r="C123" s="752"/>
      <c r="D123" s="741" t="s">
        <v>336</v>
      </c>
      <c r="E123" s="748"/>
      <c r="F123" s="748"/>
      <c r="G123" s="757" t="str">
        <f>IF(ISNUMBER(SEARCH("KSA",$D124)),"MAX. EXTRACT (m³/s)", "")</f>
        <v/>
      </c>
      <c r="H123" s="1102" t="str">
        <f>IF(ISNUMBER(SEARCH("MUAP",$D116)),"MAX.  SUPPLY (m³/s)",IF(ISNUMBER(SEARCH("SPECIAL",$D116)),"MAX.  SUPPLY (m³/s)",(IF(ISNUMBER(SEARCH("F",$D116)),"MAX.  SUPPLY (m³/s)",""))))</f>
        <v/>
      </c>
      <c r="I123" s="1102"/>
      <c r="J123" s="735">
        <f>IF(C123=0,0,'Base Costs'!$B$29)</f>
        <v>0</v>
      </c>
      <c r="K123" s="736">
        <f>J123*C123</f>
        <v>0</v>
      </c>
      <c r="L123" s="737">
        <v>0.44</v>
      </c>
      <c r="M123" s="738">
        <f t="shared" si="32"/>
        <v>0</v>
      </c>
      <c r="N123" s="736">
        <f>M123*VLOOKUP($B$9,'Base Costs'!$A$32:$B$37,2,FALSE)</f>
        <v>0</v>
      </c>
      <c r="O123" s="739">
        <f t="shared" si="35"/>
        <v>0</v>
      </c>
      <c r="S123" s="693"/>
      <c r="Y123" s="672"/>
    </row>
    <row r="124" spans="1:26" ht="15" hidden="1" customHeight="1" outlineLevel="1" x14ac:dyDescent="0.15">
      <c r="A124" s="665">
        <v>103</v>
      </c>
      <c r="B124" s="730" t="s">
        <v>3</v>
      </c>
      <c r="C124" s="740">
        <f>IF(ISNUMBER(SEARCH("CMW",D116)),1,IF(F114=0,0,(ROUNDDOWN(((((F116-(100+(50*H114))))/H116)/500),0)*H114)))</f>
        <v>0</v>
      </c>
      <c r="D124" s="741" t="str">
        <f>VLOOKUP(D116,'Base Costs'!$A$39:$B$58,2,FALSE)</f>
        <v>FILTER TYPE</v>
      </c>
      <c r="E124" s="758" t="str">
        <f>IF(C124=0,0,IF(D124="KSA",ROUND(I116/C124,3),""))&amp; "  m³/s per filter"</f>
        <v>0  m³/s per filter</v>
      </c>
      <c r="F124" s="758" t="str">
        <f>IF(C124=0," Pa",ROUND((((I116*3600)/(C124*I113))^2),1)+20&amp; " Pa")</f>
        <v xml:space="preserve"> Pa</v>
      </c>
      <c r="G124" s="759" t="str">
        <f>IF(ISNUMBER(SEARCH("KSA",$D124)),$C124*0.25, "")</f>
        <v/>
      </c>
      <c r="H124" s="1103" t="str">
        <f>IF(ISNUMBER(SEARCH("MUAP",$D116)),0.225*($F116/1000),IF(ISNUMBER(SEARCH("SPECIAL",$D116)),0.225*($F116/1000),(IF(ISNUMBER(SEARCH("F",$D116)),0.225*($F116/1000),""))))</f>
        <v/>
      </c>
      <c r="I124" s="1103"/>
      <c r="J124" s="735">
        <f>IF(ISNA(D124),0,(VLOOKUP(D124,'Base Costs'!$Q$4:$R$11,2,FALSE)))</f>
        <v>0</v>
      </c>
      <c r="K124" s="736">
        <f>IF(ISNA(D124),0,IF(D124="MX",J124*1,J124*C124))</f>
        <v>0</v>
      </c>
      <c r="L124" s="737">
        <v>0.44</v>
      </c>
      <c r="M124" s="738">
        <f t="shared" si="32"/>
        <v>0</v>
      </c>
      <c r="N124" s="736">
        <f>M124*VLOOKUP($B$9,'Base Costs'!$A$32:$B$37,2,FALSE)</f>
        <v>0</v>
      </c>
      <c r="O124" s="739">
        <f t="shared" si="35"/>
        <v>0</v>
      </c>
      <c r="S124" s="693"/>
      <c r="Y124" s="672"/>
    </row>
    <row r="125" spans="1:26" ht="15" hidden="1" customHeight="1" outlineLevel="1" x14ac:dyDescent="0.15">
      <c r="B125" s="269" t="s">
        <v>1351</v>
      </c>
      <c r="C125" s="740">
        <v>0</v>
      </c>
      <c r="D125" s="856" t="str">
        <f>VLOOKUP(D116,'Base Costs'!$A$39:$C$58,3,FALSE)</f>
        <v>PSU</v>
      </c>
      <c r="E125" s="758" t="str">
        <f>IF(C125=0,0,IF(D125="PSU",ROUND(I116/C125,3),""))&amp; " m³/s per filter"</f>
        <v>0 m³/s per filter</v>
      </c>
      <c r="F125" s="758" t="str">
        <f>IF(C125=0," Pa",ROUND((((I116*3600)/(C125*I113))^2),1)+20&amp; " Pa")</f>
        <v xml:space="preserve"> Pa</v>
      </c>
      <c r="G125" s="759" t="str">
        <f>IF(ISNUMBER(SEARCH("KSA",$D125)),$C125*0.25, "")</f>
        <v/>
      </c>
      <c r="H125" s="1103" t="str">
        <f>IF(ISNUMBER(SEARCH("MUAP",$D116)),0.225*($F116/1000),IF(ISNUMBER(SEARCH("SPECIAL",$D116)),0.225*($F116/1000),(IF(ISNUMBER(SEARCH("F",$D116)),0.225*($F116/1000),""))))</f>
        <v/>
      </c>
      <c r="I125" s="1103"/>
      <c r="J125" s="735">
        <f>IF(ISNA(D125),0,(VLOOKUP(D125,'Base Costs'!$Q$4:$R$13,2,FALSE)))</f>
        <v>112.678</v>
      </c>
      <c r="K125" s="736">
        <f>IF(ISNA(D125),0,IF(D125="MX",J125*1,J125*C125))</f>
        <v>0</v>
      </c>
      <c r="L125" s="737">
        <v>0.44</v>
      </c>
      <c r="M125" s="738">
        <f t="shared" si="32"/>
        <v>0</v>
      </c>
      <c r="N125" s="736">
        <f>M125*VLOOKUP($B$9,'Base Costs'!$A$32:$B$37,2,FALSE)</f>
        <v>0</v>
      </c>
      <c r="O125" s="739">
        <f t="shared" si="35"/>
        <v>0</v>
      </c>
      <c r="S125" s="693"/>
      <c r="Y125" s="672"/>
    </row>
    <row r="126" spans="1:26" ht="15" hidden="1" customHeight="1" outlineLevel="1" x14ac:dyDescent="0.15">
      <c r="A126" s="665">
        <v>107</v>
      </c>
      <c r="B126" s="760" t="str">
        <f>IF(ISNUMBER(SEARCH("UV",D116)),"UV-C COMPONENTS",IF(ISNUMBER(SEARCH("CMW",D116)),"WATERWASH COMPONENTS",""))</f>
        <v/>
      </c>
      <c r="C126" s="761" t="str">
        <f>IF(H114=0,"UVR",IF(I116=0,"UVR",IF(I126&gt;0,("UVR")&amp;(INDEX('Base Costs'!$AH$5:$AI$10,(MATCH((I116/H114),'Base Costs'!$AI$5:$AI$10,-1)),1))&amp;("-")&amp;(H114),"UVR")))</f>
        <v>UVR</v>
      </c>
      <c r="D126" s="769" t="str">
        <f>VLOOKUP(C126,'Base Costs'!$Z$4:$AF$77,7,FALSE)&amp;" m³/s"</f>
        <v xml:space="preserve"> m³/s</v>
      </c>
      <c r="E126" s="763" t="str">
        <f>IF(ISNUMBER(SEARCH("L",C126)),"LONG RACK IN SECTION","SHORTRACK")</f>
        <v>SHORTRACK</v>
      </c>
      <c r="F126" s="764" t="str">
        <f>IF(ISNUMBER(SEARCH("L",C126)),ROUND(F116/H116,1)&amp;" mm","")</f>
        <v/>
      </c>
      <c r="G126" s="754"/>
      <c r="H126" s="754"/>
      <c r="I126" s="751">
        <f>IF(ISNUMBER(SEARCH("UV",D116)),1, 0)</f>
        <v>0</v>
      </c>
      <c r="J126" s="735">
        <f>IF(ISNA(C126),0,VLOOKUP(C126,'Base Costs'!$Z$4:$AF$77,2,FALSE))</f>
        <v>0</v>
      </c>
      <c r="K126" s="736">
        <f t="shared" ref="K126" si="36">J126*1</f>
        <v>0</v>
      </c>
      <c r="L126" s="737">
        <v>0.44</v>
      </c>
      <c r="M126" s="738">
        <f t="shared" si="32"/>
        <v>0</v>
      </c>
      <c r="N126" s="736">
        <f>M126*VLOOKUP($B$9,'Base Costs'!$A$32:$B$37,2,FALSE)</f>
        <v>0</v>
      </c>
      <c r="O126" s="739">
        <f t="shared" si="35"/>
        <v>0</v>
      </c>
      <c r="S126" s="693"/>
      <c r="Y126" s="672"/>
    </row>
    <row r="127" spans="1:26" ht="15" hidden="1" customHeight="1" outlineLevel="1" x14ac:dyDescent="0.15">
      <c r="B127" s="730" t="str">
        <f>IF(ISNUMBER(SEARCH("UV",D116)),"UV-C 2ND FILTER",IF(ISNUMBER(SEARCH("CMW",D116)),"CONTROL PANEL",""))</f>
        <v/>
      </c>
      <c r="C127" s="758" t="s">
        <v>588</v>
      </c>
      <c r="D127" s="760" t="str">
        <f>IF(ISNUMBER(SEARCH("CP1S",$C127)),"Up to 12m of canopy","")</f>
        <v/>
      </c>
      <c r="E127" s="760" t="str">
        <f>IF(ISNUMBER(SEARCH("CMW",$D116)),"CWS REQUIREMENT @ 2Bar","")</f>
        <v/>
      </c>
      <c r="F127" s="765" t="str">
        <f>IF(ISNUMBER(SEARCH("CMW",$D116)),$F116/1000*0.02&amp;" L/S","")</f>
        <v/>
      </c>
      <c r="G127" s="754"/>
      <c r="H127" s="750"/>
      <c r="I127" s="751">
        <f>C124</f>
        <v>0</v>
      </c>
      <c r="J127" s="735">
        <f>IF(ISNUMBER(SEARCH("CMW",D116)),VLOOKUP(C127,CCBASE!$A$81:$B$85,2,FALSE),(IF(I126&gt;0,'Base Costs'!$R$7,0)))</f>
        <v>0</v>
      </c>
      <c r="K127" s="736">
        <f>J127*C124</f>
        <v>0</v>
      </c>
      <c r="L127" s="737">
        <v>0.44</v>
      </c>
      <c r="M127" s="738">
        <f t="shared" si="32"/>
        <v>0</v>
      </c>
      <c r="N127" s="736">
        <f>M127*VLOOKUP($B$9,'Base Costs'!$A$32:$B$37,2,FALSE)</f>
        <v>0</v>
      </c>
      <c r="O127" s="739">
        <f t="shared" si="35"/>
        <v>0</v>
      </c>
      <c r="S127" s="693"/>
      <c r="Y127" s="672"/>
    </row>
    <row r="128" spans="1:26" ht="15" hidden="1" customHeight="1" outlineLevel="1" x14ac:dyDescent="0.15">
      <c r="A128" s="665">
        <v>285</v>
      </c>
      <c r="B128" s="730" t="str">
        <f>IF(ISNUMBER(SEARCH("UV",D116)),"UV-C WORKSHOP WIRING",IF(ISNUMBER(SEARCH("CMW",D116)),"W/W PODS",""))</f>
        <v/>
      </c>
      <c r="C128" s="758" t="s">
        <v>714</v>
      </c>
      <c r="D128" s="758">
        <v>0</v>
      </c>
      <c r="E128" s="760" t="str">
        <f>IF(ISNUMBER(SEARCH("CMW",$D116)),"HWS REQUIREMENT @ 60°C ","")</f>
        <v/>
      </c>
      <c r="F128" s="766" t="str">
        <f>IF(ISNUMBER(SEARCH("CMW",$D116)),$F116/1000*0.103&amp;" L/S","")</f>
        <v/>
      </c>
      <c r="G128" s="754"/>
      <c r="H128" s="750"/>
      <c r="I128" s="751">
        <f>IF(I126&gt;0,H114,0)</f>
        <v>0</v>
      </c>
      <c r="J128" s="735">
        <f>IF(ISNUMBER(SEARCH("CMW",D116)),VLOOKUP(C128,'Base Costs'!$Q$35:$R$45,2,FALSE),IF(I128=0,0,36*1.03))</f>
        <v>0</v>
      </c>
      <c r="K128" s="736">
        <f>IF(ISNUMBER(SEARCH("CMW",D116)),J128*D128,J128*H114)</f>
        <v>0</v>
      </c>
      <c r="L128" s="737">
        <v>0.44</v>
      </c>
      <c r="M128" s="738">
        <f t="shared" si="32"/>
        <v>0</v>
      </c>
      <c r="N128" s="736">
        <f>M128*VLOOKUP($B$9,'Base Costs'!$A$32:$B$37,2,FALSE)</f>
        <v>0</v>
      </c>
      <c r="O128" s="739">
        <f t="shared" si="35"/>
        <v>0</v>
      </c>
      <c r="S128" s="693"/>
      <c r="Y128" s="672"/>
    </row>
    <row r="129" spans="1:26" ht="15" hidden="1" customHeight="1" outlineLevel="1" x14ac:dyDescent="0.15">
      <c r="A129" s="665">
        <v>286</v>
      </c>
      <c r="B129" s="730" t="str">
        <f>IF(ISNUMBER(SEARCH("CMW",$D116)),"CWS/HWS PIPEWORK UP TO 5M",IF(ISNUMBER(SEARCH("UV",$D116)),"MU5 INTERFACE", ""))</f>
        <v/>
      </c>
      <c r="C129" s="758">
        <v>1</v>
      </c>
      <c r="D129" s="767"/>
      <c r="E129" s="760" t="str">
        <f>IF(ISNUMBER(SEARCH("CMW",$D116)),"HW STORAGE 3m wash","")</f>
        <v/>
      </c>
      <c r="F129" s="765" t="str">
        <f>IF(ISNUMBER(SEARCH("CMW",$D116)),($F116/1000)*0.103*180&amp;" L","")</f>
        <v/>
      </c>
      <c r="G129" s="749"/>
      <c r="H129" s="750"/>
      <c r="I129" s="751">
        <f>IF(I126=0,0,1)</f>
        <v>0</v>
      </c>
      <c r="J129" s="735">
        <f>IF(B129="CWS/HWS PIPEWORK UP TO 5M",CCBASE!$B$65,IF(I129=0,0,100*1.44))</f>
        <v>0</v>
      </c>
      <c r="K129" s="736">
        <f>J129*C129</f>
        <v>0</v>
      </c>
      <c r="L129" s="737">
        <v>0.44</v>
      </c>
      <c r="M129" s="738">
        <f t="shared" si="32"/>
        <v>0</v>
      </c>
      <c r="N129" s="736">
        <f>M129*VLOOKUP($B$9,'Base Costs'!$A$32:$B$37,2,FALSE)</f>
        <v>0</v>
      </c>
      <c r="O129" s="739">
        <f t="shared" si="35"/>
        <v>0</v>
      </c>
      <c r="S129" s="693"/>
      <c r="Y129" s="672"/>
    </row>
    <row r="130" spans="1:26" ht="15" customHeight="1" collapsed="1" x14ac:dyDescent="0.15">
      <c r="B130" s="713"/>
      <c r="C130" s="770"/>
      <c r="E130" s="770"/>
      <c r="F130" s="770"/>
      <c r="G130" s="715" t="s">
        <v>347</v>
      </c>
      <c r="H130" s="714"/>
      <c r="I130" s="715">
        <f>IF(ISNUMBER(SEARCH("UV",D133)),49.7,71.75)</f>
        <v>71.75</v>
      </c>
      <c r="J130" s="716"/>
      <c r="K130" s="771"/>
      <c r="L130" s="772"/>
      <c r="M130" s="771"/>
      <c r="N130" s="771"/>
      <c r="S130" s="693"/>
      <c r="Y130" s="672"/>
    </row>
    <row r="131" spans="1:26" s="673" customFormat="1" ht="15" customHeight="1" x14ac:dyDescent="0.15">
      <c r="A131" s="665"/>
      <c r="B131" s="241" t="s">
        <v>604</v>
      </c>
      <c r="C131" s="719">
        <f>IF(H131&lt;1,0,(((VLOOKUP(G131,CC!$D$2:$F$670,3,FALSE))*H131)+IF(ISNUMBER(SEARCH("CMW",D133)),VLOOKUP(C144,CCBASE!$A$81:$C$85,3,FALSE),0)+(VLOOKUP(C136,CCBASE!$A$53:$C$73,3,FALSE)*D136)+(VLOOKUP(C137,CCBASE!$A$53:$C$73,3,FALSE)*D137))&amp;" HRS")</f>
        <v>0</v>
      </c>
      <c r="D131" s="720" t="str">
        <f>D133</f>
        <v>CANOPY TYPE</v>
      </c>
      <c r="E131" s="701">
        <f>CEILING(IF(C133="WALL",E133, (E133/2)),250)</f>
        <v>0</v>
      </c>
      <c r="F131" s="701">
        <f>IF(H131&lt;1,0,CEILING((F133-100)/H133,250))</f>
        <v>0</v>
      </c>
      <c r="G131" s="720" t="str">
        <f>D131&amp;F131&amp;E131</f>
        <v>CANOPY TYPE00</v>
      </c>
      <c r="H131" s="719">
        <f>IF(E133=0,0,IF(F133=0,0,(E133/(IF(C133="WALL",E133,(E133/2)))*H133)))</f>
        <v>0</v>
      </c>
      <c r="I131" s="719" t="str">
        <f>I133&amp;" m³/s"</f>
        <v xml:space="preserve"> m³/s</v>
      </c>
      <c r="J131" s="721"/>
      <c r="K131" s="722">
        <f>SUBTOTAL(9,K133:K146)</f>
        <v>0</v>
      </c>
      <c r="L131" s="703" t="str">
        <f>IF(K131=0,"-",O131/M131)</f>
        <v>-</v>
      </c>
      <c r="M131" s="722">
        <f>SUBTOTAL(9,M133:M146)</f>
        <v>0</v>
      </c>
      <c r="N131" s="704">
        <f>SUBTOTAL(9,N133:N146)</f>
        <v>0</v>
      </c>
      <c r="O131" s="722">
        <f>SUBTOTAL(9,O133:O146)</f>
        <v>0</v>
      </c>
      <c r="P131" s="672"/>
      <c r="Q131" s="672"/>
      <c r="R131" s="672"/>
      <c r="S131" s="712"/>
      <c r="T131" s="672"/>
      <c r="X131" s="672"/>
      <c r="Y131" s="672"/>
      <c r="Z131" s="672"/>
    </row>
    <row r="132" spans="1:26" ht="15" hidden="1" customHeight="1" outlineLevel="1" x14ac:dyDescent="0.15">
      <c r="B132" s="723"/>
      <c r="C132" s="724" t="s">
        <v>198</v>
      </c>
      <c r="D132" s="725" t="s">
        <v>255</v>
      </c>
      <c r="E132" s="724" t="s">
        <v>128</v>
      </c>
      <c r="F132" s="724" t="s">
        <v>129</v>
      </c>
      <c r="G132" s="724" t="s">
        <v>172</v>
      </c>
      <c r="H132" s="724" t="s">
        <v>197</v>
      </c>
      <c r="I132" s="725" t="s">
        <v>256</v>
      </c>
      <c r="J132" s="726"/>
      <c r="K132" s="727"/>
      <c r="L132" s="727"/>
      <c r="M132" s="728"/>
      <c r="N132" s="729"/>
      <c r="O132" s="711"/>
      <c r="S132" s="693"/>
      <c r="Y132" s="672"/>
    </row>
    <row r="133" spans="1:26" ht="15" hidden="1" customHeight="1" outlineLevel="1" x14ac:dyDescent="0.2">
      <c r="A133" s="665">
        <v>210</v>
      </c>
      <c r="B133" s="730" t="s">
        <v>182</v>
      </c>
      <c r="C133" s="731" t="s">
        <v>183</v>
      </c>
      <c r="D133" s="732" t="s">
        <v>130</v>
      </c>
      <c r="E133" s="733"/>
      <c r="F133" s="733"/>
      <c r="G133" s="733"/>
      <c r="H133" s="734"/>
      <c r="I133" s="733"/>
      <c r="J133" s="735">
        <f>IF(ISNA(C131),0,IF(F131&gt;3000,0,(IF(H131&lt;1,0,((VLOOKUP(G131,CC!$D$2:$E$670,2,FALSE))*H131)+((VLOOKUP(G131,CC!$D$2:$AD$670,17,FALSE)*(H131/H133)))))))</f>
        <v>0</v>
      </c>
      <c r="K133" s="736">
        <f>J133*1</f>
        <v>0</v>
      </c>
      <c r="L133" s="737">
        <v>0.44</v>
      </c>
      <c r="M133" s="738">
        <f t="shared" ref="M133:M146" si="37">K133/(1-L133)*(1+$C$9)</f>
        <v>0</v>
      </c>
      <c r="N133" s="736">
        <f>M133*VLOOKUP($B$9,'Base Costs'!$A$32:$B$37,2,FALSE)</f>
        <v>0</v>
      </c>
      <c r="O133" s="739">
        <f t="shared" ref="O133:O137" si="38">M133-K133</f>
        <v>0</v>
      </c>
      <c r="S133" s="693"/>
      <c r="Y133" s="672"/>
    </row>
    <row r="134" spans="1:26" ht="15" hidden="1" customHeight="1" outlineLevel="1" x14ac:dyDescent="0.15">
      <c r="A134" s="665">
        <v>104</v>
      </c>
      <c r="B134" s="730" t="s">
        <v>4</v>
      </c>
      <c r="C134" s="732" t="s">
        <v>185</v>
      </c>
      <c r="D134" s="740"/>
      <c r="E134" s="741"/>
      <c r="F134" s="742"/>
      <c r="G134" s="743"/>
      <c r="H134" s="667"/>
      <c r="I134" s="667"/>
      <c r="J134" s="735">
        <f>IF(ISNA(C131),0,IF(D134=0,0,IF(C134="FLO",VLOOKUP(E134,'Base Costs'!$M$4:$N$14,2,FALSE),IF(C134="LED STRIP",VLOOKUP(E134,'Base Costs'!$M$4:$N$14,2,FALSE),(VLOOKUP(C134,'Base Costs'!$M$4:$N$14,2,FALSE))))))</f>
        <v>0</v>
      </c>
      <c r="K134" s="736">
        <f>J134*D134</f>
        <v>0</v>
      </c>
      <c r="L134" s="737">
        <v>0.31</v>
      </c>
      <c r="M134" s="738">
        <f t="shared" si="37"/>
        <v>0</v>
      </c>
      <c r="N134" s="736">
        <f>M134*VLOOKUP($B$9,'Base Costs'!$A$32:$B$37,2,FALSE)</f>
        <v>0</v>
      </c>
      <c r="O134" s="739">
        <f t="shared" si="38"/>
        <v>0</v>
      </c>
      <c r="P134" s="744"/>
      <c r="S134" s="693"/>
      <c r="Y134" s="672"/>
    </row>
    <row r="135" spans="1:26" ht="15" hidden="1" customHeight="1" outlineLevel="1" x14ac:dyDescent="0.15">
      <c r="A135" s="665">
        <v>234</v>
      </c>
      <c r="B135" s="269" t="s">
        <v>839</v>
      </c>
      <c r="C135" s="745" t="s">
        <v>839</v>
      </c>
      <c r="D135" s="746"/>
      <c r="E135" s="747"/>
      <c r="F135" s="748"/>
      <c r="G135" s="749"/>
      <c r="H135" s="750"/>
      <c r="I135" s="751">
        <v>1</v>
      </c>
      <c r="J135" s="735">
        <f>VLOOKUP(C135,'Base Costs'!$U$4:$V$41,2,FALSE)</f>
        <v>0</v>
      </c>
      <c r="K135" s="736">
        <f t="shared" ref="K135" si="39">J135*1</f>
        <v>0</v>
      </c>
      <c r="L135" s="737">
        <v>0.35</v>
      </c>
      <c r="M135" s="738">
        <f t="shared" si="37"/>
        <v>0</v>
      </c>
      <c r="N135" s="736">
        <f>M135*VLOOKUP($B$9,'Base Costs'!$A$32:$B$37,2,FALSE)</f>
        <v>0</v>
      </c>
      <c r="O135" s="739">
        <f t="shared" si="38"/>
        <v>0</v>
      </c>
      <c r="S135" s="693"/>
      <c r="Y135" s="672"/>
    </row>
    <row r="136" spans="1:26" ht="15" hidden="1" customHeight="1" outlineLevel="1" x14ac:dyDescent="0.15">
      <c r="B136" s="583" t="s">
        <v>339</v>
      </c>
      <c r="C136" s="33" t="s">
        <v>342</v>
      </c>
      <c r="D136" s="734"/>
      <c r="E136" s="753" t="str">
        <f>IF(C136="","",VLOOKUP(C136,CCBASE!$A$53:$D$73,4,FALSE))</f>
        <v/>
      </c>
      <c r="F136" s="754"/>
      <c r="G136" s="749"/>
      <c r="H136" s="750"/>
      <c r="I136" s="755"/>
      <c r="J136" s="735">
        <f>IF(C136="",0,VLOOKUP(C136,CCBASE!$A$53:$C$73,2,FALSE))</f>
        <v>0</v>
      </c>
      <c r="K136" s="736">
        <f>J136*D136</f>
        <v>0</v>
      </c>
      <c r="L136" s="737">
        <v>0.44</v>
      </c>
      <c r="M136" s="738">
        <f t="shared" si="37"/>
        <v>0</v>
      </c>
      <c r="N136" s="736">
        <f>M136*VLOOKUP($B$9,'Base Costs'!$A$32:$B$37,2,FALSE)</f>
        <v>0</v>
      </c>
      <c r="O136" s="739">
        <f t="shared" si="38"/>
        <v>0</v>
      </c>
      <c r="S136" s="693"/>
      <c r="Y136" s="672"/>
    </row>
    <row r="137" spans="1:26" ht="15" hidden="1" customHeight="1" outlineLevel="1" x14ac:dyDescent="0.15">
      <c r="B137" s="997" t="s">
        <v>339</v>
      </c>
      <c r="C137" s="998" t="s">
        <v>1366</v>
      </c>
      <c r="D137" s="986"/>
      <c r="E137" s="987" t="str">
        <f>IF(C137="","",VLOOKUP(C137,CCBASE!$A$53:$D$73,4,FALSE))</f>
        <v>SECTION(S) OF CANOPY</v>
      </c>
      <c r="F137" s="988"/>
      <c r="G137" s="983"/>
      <c r="H137" s="989"/>
      <c r="I137" s="990"/>
      <c r="J137" s="991">
        <f>IF(C137="",0,VLOOKUP(C137,CCBASE!$A$53:$C$73,2,FALSE))</f>
        <v>50</v>
      </c>
      <c r="K137" s="992">
        <f>J137*D137</f>
        <v>0</v>
      </c>
      <c r="L137" s="993">
        <v>0.44</v>
      </c>
      <c r="M137" s="994">
        <f t="shared" si="37"/>
        <v>0</v>
      </c>
      <c r="N137" s="992">
        <f>M137*VLOOKUP($B$9,'Base Costs'!$A$32:$B$37,2,FALSE)</f>
        <v>0</v>
      </c>
      <c r="O137" s="995">
        <f t="shared" si="38"/>
        <v>0</v>
      </c>
      <c r="P137" s="996" t="s">
        <v>1416</v>
      </c>
      <c r="S137" s="693"/>
      <c r="Y137" s="672"/>
    </row>
    <row r="138" spans="1:26" ht="15" hidden="1" customHeight="1" outlineLevel="1" x14ac:dyDescent="0.15">
      <c r="A138" s="665">
        <v>289</v>
      </c>
      <c r="B138" s="583" t="s">
        <v>9</v>
      </c>
      <c r="C138" s="33" t="s">
        <v>565</v>
      </c>
      <c r="D138" s="756">
        <f>ROUNDUP($F133/1000,0)</f>
        <v>0</v>
      </c>
      <c r="E138" s="1107" t="s">
        <v>1059</v>
      </c>
      <c r="F138" s="1105"/>
      <c r="G138" s="754"/>
      <c r="H138" s="750"/>
      <c r="I138" s="755"/>
      <c r="J138" s="735">
        <f>IF(D138=0,0,VLOOKUP(C138,'Base Costs'!$A$19:$B$22,2,FALSE))</f>
        <v>0</v>
      </c>
      <c r="K138" s="736">
        <f>J138*D138</f>
        <v>0</v>
      </c>
      <c r="L138" s="737">
        <v>0.44</v>
      </c>
      <c r="M138" s="738">
        <f t="shared" si="37"/>
        <v>0</v>
      </c>
      <c r="N138" s="736">
        <f>M138*VLOOKUP($B$9,'Base Costs'!$A$32:$B$37,2,FALSE)</f>
        <v>0</v>
      </c>
      <c r="O138" s="739">
        <f>M138-K138</f>
        <v>0</v>
      </c>
      <c r="S138" s="693"/>
      <c r="Y138" s="672"/>
    </row>
    <row r="139" spans="1:26" ht="15" hidden="1" customHeight="1" outlineLevel="1" x14ac:dyDescent="0.15">
      <c r="A139" s="665">
        <v>242</v>
      </c>
      <c r="B139" s="583" t="s">
        <v>44</v>
      </c>
      <c r="C139" s="752"/>
      <c r="D139" s="741" t="s">
        <v>335</v>
      </c>
      <c r="E139" s="749"/>
      <c r="F139" s="748"/>
      <c r="G139" s="749"/>
      <c r="H139" s="750"/>
      <c r="I139" s="755"/>
      <c r="J139" s="735">
        <f>IF(C139=0,0,'Base Costs'!$B$26)</f>
        <v>0</v>
      </c>
      <c r="K139" s="736">
        <f>J139*C139</f>
        <v>0</v>
      </c>
      <c r="L139" s="737">
        <v>0.44</v>
      </c>
      <c r="M139" s="738">
        <f t="shared" si="37"/>
        <v>0</v>
      </c>
      <c r="N139" s="736">
        <f>M139*VLOOKUP($B$9,'Base Costs'!$A$32:$B$37,2,FALSE)</f>
        <v>0</v>
      </c>
      <c r="O139" s="739">
        <f t="shared" ref="O139:O146" si="40">M139-K139</f>
        <v>0</v>
      </c>
      <c r="S139" s="693"/>
      <c r="Y139" s="672"/>
    </row>
    <row r="140" spans="1:26" ht="15" hidden="1" customHeight="1" outlineLevel="1" x14ac:dyDescent="0.15">
      <c r="A140" s="665">
        <v>220</v>
      </c>
      <c r="B140" s="730" t="s">
        <v>43</v>
      </c>
      <c r="C140" s="752"/>
      <c r="D140" s="741" t="s">
        <v>336</v>
      </c>
      <c r="E140" s="748"/>
      <c r="F140" s="748"/>
      <c r="G140" s="757" t="str">
        <f>IF(ISNUMBER(SEARCH("KSA",$D141)),"MAX. EXTRACT (m³/s)", "")</f>
        <v/>
      </c>
      <c r="H140" s="1102" t="str">
        <f>IF(ISNUMBER(SEARCH("MUAP",$D133)),"MAX.  SUPPLY (m³/s)",IF(ISNUMBER(SEARCH("SPECIAL",$D133)),"MAX.  SUPPLY (m³/s)",(IF(ISNUMBER(SEARCH("F",$D133)),"MAX.  SUPPLY (m³/s)",""))))</f>
        <v/>
      </c>
      <c r="I140" s="1102"/>
      <c r="J140" s="735">
        <f>IF(C140=0,0,'Base Costs'!$B$29)</f>
        <v>0</v>
      </c>
      <c r="K140" s="736">
        <f>J140*C140</f>
        <v>0</v>
      </c>
      <c r="L140" s="737">
        <v>0.44</v>
      </c>
      <c r="M140" s="738">
        <f t="shared" si="37"/>
        <v>0</v>
      </c>
      <c r="N140" s="736">
        <f>M140*VLOOKUP($B$9,'Base Costs'!$A$32:$B$37,2,FALSE)</f>
        <v>0</v>
      </c>
      <c r="O140" s="739">
        <f t="shared" si="40"/>
        <v>0</v>
      </c>
      <c r="S140" s="693"/>
      <c r="Y140" s="672"/>
    </row>
    <row r="141" spans="1:26" ht="15" hidden="1" customHeight="1" outlineLevel="1" x14ac:dyDescent="0.15">
      <c r="A141" s="665">
        <v>103</v>
      </c>
      <c r="B141" s="730" t="s">
        <v>3</v>
      </c>
      <c r="C141" s="740">
        <f>IF(ISNUMBER(SEARCH("CMW",D133)),1,IF(F131=0,0,(ROUNDDOWN(((((F133-(100+(50*H131))))/H133)/500),0)*H131)))</f>
        <v>0</v>
      </c>
      <c r="D141" s="741" t="str">
        <f>VLOOKUP(D133,'Base Costs'!$A$39:$B$58,2,FALSE)</f>
        <v>FILTER TYPE</v>
      </c>
      <c r="E141" s="758" t="str">
        <f>IF(C141=0,0,IF(D141="KSA",ROUND(I133/C141,3),""))&amp; "  m³/s per filter"</f>
        <v>0  m³/s per filter</v>
      </c>
      <c r="F141" s="758" t="str">
        <f>IF(C141=0," Pa",ROUND((((I133*3600)/(C141*I130))^2),1)+20&amp; " Pa")</f>
        <v xml:space="preserve"> Pa</v>
      </c>
      <c r="G141" s="759" t="str">
        <f>IF(ISNUMBER(SEARCH("KSA",$D141)),$C141*0.25, "")</f>
        <v/>
      </c>
      <c r="H141" s="1103" t="str">
        <f>IF(ISNUMBER(SEARCH("MUAP",$D133)),0.225*($F133/1000),IF(ISNUMBER(SEARCH("SPECIAL",$D133)),0.225*($F133/1000),(IF(ISNUMBER(SEARCH("F",$D133)),0.225*($F133/1000),""))))</f>
        <v/>
      </c>
      <c r="I141" s="1103"/>
      <c r="J141" s="735">
        <f>IF(ISNA(D141),0,(VLOOKUP(D141,'Base Costs'!$Q$4:$R$11,2,FALSE)))</f>
        <v>0</v>
      </c>
      <c r="K141" s="736">
        <f>IF(ISNA(D141),0,IF(D141="MX",J141*1,J141*C141))</f>
        <v>0</v>
      </c>
      <c r="L141" s="737">
        <v>0.44</v>
      </c>
      <c r="M141" s="738">
        <f t="shared" si="37"/>
        <v>0</v>
      </c>
      <c r="N141" s="736">
        <f>M141*VLOOKUP($B$9,'Base Costs'!$A$32:$B$37,2,FALSE)</f>
        <v>0</v>
      </c>
      <c r="O141" s="739">
        <f t="shared" si="40"/>
        <v>0</v>
      </c>
      <c r="S141" s="693"/>
      <c r="Y141" s="672"/>
    </row>
    <row r="142" spans="1:26" ht="15" hidden="1" customHeight="1" outlineLevel="1" x14ac:dyDescent="0.15">
      <c r="B142" s="269" t="s">
        <v>1351</v>
      </c>
      <c r="C142" s="740">
        <v>0</v>
      </c>
      <c r="D142" s="856" t="str">
        <f>VLOOKUP(D133,'Base Costs'!$A$39:$C$58,3,FALSE)</f>
        <v>PSU</v>
      </c>
      <c r="E142" s="758" t="str">
        <f>IF(C142=0,0,IF(D142="PSU",ROUND(I133/C142,3),""))&amp; " m³/s per filter"</f>
        <v>0 m³/s per filter</v>
      </c>
      <c r="F142" s="758" t="str">
        <f>IF(C142=0," Pa",ROUND((((I133*3600)/(C142*I130))^2),1)+20&amp; " Pa")</f>
        <v xml:space="preserve"> Pa</v>
      </c>
      <c r="G142" s="759" t="str">
        <f>IF(ISNUMBER(SEARCH("KSA",$D142)),$C142*0.25, "")</f>
        <v/>
      </c>
      <c r="H142" s="1103" t="str">
        <f>IF(ISNUMBER(SEARCH("MUAP",$D133)),0.225*($F133/1000),IF(ISNUMBER(SEARCH("SPECIAL",$D133)),0.225*($F133/1000),(IF(ISNUMBER(SEARCH("F",$D133)),0.225*($F133/1000),""))))</f>
        <v/>
      </c>
      <c r="I142" s="1103"/>
      <c r="J142" s="735">
        <f>IF(ISNA(D142),0,(VLOOKUP(D142,'Base Costs'!$Q$4:$R$13,2,FALSE)))</f>
        <v>112.678</v>
      </c>
      <c r="K142" s="736">
        <f>IF(ISNA(D142),0,IF(D142="MX",J142*1,J142*C142))</f>
        <v>0</v>
      </c>
      <c r="L142" s="737">
        <v>0.44</v>
      </c>
      <c r="M142" s="738">
        <f t="shared" si="37"/>
        <v>0</v>
      </c>
      <c r="N142" s="736">
        <f>M142*VLOOKUP($B$9,'Base Costs'!$A$32:$B$37,2,FALSE)</f>
        <v>0</v>
      </c>
      <c r="O142" s="739">
        <f t="shared" si="40"/>
        <v>0</v>
      </c>
      <c r="S142" s="693"/>
      <c r="Y142" s="672"/>
    </row>
    <row r="143" spans="1:26" ht="15" hidden="1" customHeight="1" outlineLevel="1" x14ac:dyDescent="0.15">
      <c r="A143" s="665">
        <v>107</v>
      </c>
      <c r="B143" s="760" t="str">
        <f>IF(ISNUMBER(SEARCH("UV",D133)),"UV-C COMPONENTS",IF(ISNUMBER(SEARCH("CMW",D133)),"WATERWASH COMPONENTS",""))</f>
        <v/>
      </c>
      <c r="C143" s="761" t="str">
        <f>IF(H131=0,"UVR",IF(I133=0,"UVR",IF(I143&gt;0,("UVR")&amp;(INDEX('Base Costs'!$AH$5:$AI$10,(MATCH((I133/H131),'Base Costs'!$AI$5:$AI$10,-1)),1))&amp;("-")&amp;(H131),"UVR")))</f>
        <v>UVR</v>
      </c>
      <c r="D143" s="769" t="str">
        <f>VLOOKUP(C143,'Base Costs'!$Z$4:$AF$77,7,FALSE)&amp;" m³/s"</f>
        <v xml:space="preserve"> m³/s</v>
      </c>
      <c r="E143" s="763" t="str">
        <f>IF(ISNUMBER(SEARCH("L",C143)),"LONG RACK IN SECTION","SHORTRACK")</f>
        <v>SHORTRACK</v>
      </c>
      <c r="F143" s="764" t="str">
        <f>IF(ISNUMBER(SEARCH("L",C143)),ROUND(F133/H133,1)&amp;" mm","")</f>
        <v/>
      </c>
      <c r="G143" s="754"/>
      <c r="H143" s="754"/>
      <c r="I143" s="751">
        <f>IF(ISNUMBER(SEARCH("UV",D133)),1, 0)</f>
        <v>0</v>
      </c>
      <c r="J143" s="735">
        <f>IF(ISNA(C143),0,VLOOKUP(C143,'Base Costs'!$Z$4:$AF$77,2,FALSE))</f>
        <v>0</v>
      </c>
      <c r="K143" s="736">
        <f t="shared" ref="K143" si="41">J143*1</f>
        <v>0</v>
      </c>
      <c r="L143" s="737">
        <v>0.44</v>
      </c>
      <c r="M143" s="738">
        <f t="shared" si="37"/>
        <v>0</v>
      </c>
      <c r="N143" s="736">
        <f>M143*VLOOKUP($B$9,'Base Costs'!$A$32:$B$37,2,FALSE)</f>
        <v>0</v>
      </c>
      <c r="O143" s="739">
        <f t="shared" si="40"/>
        <v>0</v>
      </c>
      <c r="S143" s="693"/>
      <c r="Y143" s="672"/>
    </row>
    <row r="144" spans="1:26" ht="15" hidden="1" customHeight="1" outlineLevel="1" x14ac:dyDescent="0.15">
      <c r="B144" s="730" t="str">
        <f>IF(ISNUMBER(SEARCH("UV",D133)),"UV-C 2ND FILTER",IF(ISNUMBER(SEARCH("CMW",D133)),"CONTROL PANEL",""))</f>
        <v/>
      </c>
      <c r="C144" s="758" t="s">
        <v>588</v>
      </c>
      <c r="D144" s="760" t="str">
        <f>IF(ISNUMBER(SEARCH("CP1S",$C144)),"Up to 12m of canopy","")</f>
        <v/>
      </c>
      <c r="E144" s="760" t="str">
        <f>IF(ISNUMBER(SEARCH("CMW",$D133)),"CWS REQUIREMENT @ 2Bar","")</f>
        <v/>
      </c>
      <c r="F144" s="765" t="str">
        <f>IF(ISNUMBER(SEARCH("CMW",$D133)),$F133/1000*0.02&amp;" L/S","")</f>
        <v/>
      </c>
      <c r="G144" s="754"/>
      <c r="H144" s="750"/>
      <c r="I144" s="751">
        <f>C141</f>
        <v>0</v>
      </c>
      <c r="J144" s="735">
        <f>IF(ISNUMBER(SEARCH("CMW",D133)),VLOOKUP(C144,CCBASE!$A$81:$B$85,2,FALSE),(IF(I143&gt;0,'Base Costs'!$R$7,0)))</f>
        <v>0</v>
      </c>
      <c r="K144" s="736">
        <f>J144*C141</f>
        <v>0</v>
      </c>
      <c r="L144" s="737">
        <v>0.44</v>
      </c>
      <c r="M144" s="738">
        <f t="shared" si="37"/>
        <v>0</v>
      </c>
      <c r="N144" s="736">
        <f>M144*VLOOKUP($B$9,'Base Costs'!$A$32:$B$37,2,FALSE)</f>
        <v>0</v>
      </c>
      <c r="O144" s="739">
        <f t="shared" si="40"/>
        <v>0</v>
      </c>
      <c r="S144" s="693"/>
      <c r="Y144" s="672"/>
    </row>
    <row r="145" spans="1:26" ht="15" hidden="1" customHeight="1" outlineLevel="1" x14ac:dyDescent="0.15">
      <c r="A145" s="665">
        <v>285</v>
      </c>
      <c r="B145" s="730" t="str">
        <f>IF(ISNUMBER(SEARCH("UV",D133)),"UV-C WORKSHOP WIRING",IF(ISNUMBER(SEARCH("CMW",D133)),"W/W PODS",""))</f>
        <v/>
      </c>
      <c r="C145" s="758" t="s">
        <v>714</v>
      </c>
      <c r="D145" s="758">
        <v>0</v>
      </c>
      <c r="E145" s="760" t="str">
        <f>IF(ISNUMBER(SEARCH("CMW",$D133)),"HWS REQUIREMENT @ 60°C ","")</f>
        <v/>
      </c>
      <c r="F145" s="766" t="str">
        <f>IF(ISNUMBER(SEARCH("CMW",$D133)),$F133/1000*0.103&amp;" L/S","")</f>
        <v/>
      </c>
      <c r="G145" s="754"/>
      <c r="H145" s="750"/>
      <c r="I145" s="751">
        <f>IF(I143&gt;0,H131,0)</f>
        <v>0</v>
      </c>
      <c r="J145" s="735">
        <f>IF(ISNUMBER(SEARCH("CMW",D133)),VLOOKUP(C145,'Base Costs'!$Q$35:$R$45,2,FALSE),IF(I145=0,0,36*1.03))</f>
        <v>0</v>
      </c>
      <c r="K145" s="736">
        <f>IF(ISNUMBER(SEARCH("CMW",D133)),J145*D145,J145*H131)</f>
        <v>0</v>
      </c>
      <c r="L145" s="737">
        <v>0.44</v>
      </c>
      <c r="M145" s="738">
        <f t="shared" si="37"/>
        <v>0</v>
      </c>
      <c r="N145" s="736">
        <f>M145*VLOOKUP($B$9,'Base Costs'!$A$32:$B$37,2,FALSE)</f>
        <v>0</v>
      </c>
      <c r="O145" s="739">
        <f t="shared" si="40"/>
        <v>0</v>
      </c>
      <c r="S145" s="693"/>
      <c r="Y145" s="672"/>
    </row>
    <row r="146" spans="1:26" ht="15" hidden="1" customHeight="1" outlineLevel="1" x14ac:dyDescent="0.15">
      <c r="A146" s="665">
        <v>286</v>
      </c>
      <c r="B146" s="730" t="str">
        <f>IF(ISNUMBER(SEARCH("CMW",$D133)),"CWS/HWS PIPEWORK UP TO 5M",IF(ISNUMBER(SEARCH("UV",$D133)),"MU5 INTERFACE", ""))</f>
        <v/>
      </c>
      <c r="C146" s="758">
        <v>1</v>
      </c>
      <c r="D146" s="767"/>
      <c r="E146" s="760" t="str">
        <f>IF(ISNUMBER(SEARCH("CMW",$D133)),"HW STORAGE 3m wash","")</f>
        <v/>
      </c>
      <c r="F146" s="765" t="str">
        <f>IF(ISNUMBER(SEARCH("CMW",$D133)),($F133/1000)*0.103*180&amp;" L","")</f>
        <v/>
      </c>
      <c r="G146" s="749"/>
      <c r="H146" s="750"/>
      <c r="I146" s="751">
        <f>IF(I143=0,0,1)</f>
        <v>0</v>
      </c>
      <c r="J146" s="735">
        <f>IF(B146="CWS/HWS PIPEWORK UP TO 5M",CCBASE!$B$65,IF(I146=0,0,100*1.44))</f>
        <v>0</v>
      </c>
      <c r="K146" s="736">
        <f>J146*C146</f>
        <v>0</v>
      </c>
      <c r="L146" s="737">
        <v>0.44</v>
      </c>
      <c r="M146" s="738">
        <f t="shared" si="37"/>
        <v>0</v>
      </c>
      <c r="N146" s="736">
        <f>M146*VLOOKUP($B$9,'Base Costs'!$A$32:$B$37,2,FALSE)</f>
        <v>0</v>
      </c>
      <c r="O146" s="739">
        <f t="shared" si="40"/>
        <v>0</v>
      </c>
      <c r="S146" s="693"/>
      <c r="Y146" s="672"/>
    </row>
    <row r="147" spans="1:26" ht="15" customHeight="1" collapsed="1" x14ac:dyDescent="0.15">
      <c r="B147" s="713"/>
      <c r="C147" s="770"/>
      <c r="E147" s="770"/>
      <c r="F147" s="770"/>
      <c r="G147" s="715" t="s">
        <v>347</v>
      </c>
      <c r="H147" s="714"/>
      <c r="I147" s="715">
        <f>IF(ISNUMBER(SEARCH("UV",D150)),49.7,71.75)</f>
        <v>71.75</v>
      </c>
      <c r="J147" s="716"/>
      <c r="K147" s="771"/>
      <c r="L147" s="772"/>
      <c r="M147" s="771"/>
      <c r="N147" s="771"/>
      <c r="S147" s="693"/>
      <c r="Y147" s="672"/>
    </row>
    <row r="148" spans="1:26" s="673" customFormat="1" ht="15" customHeight="1" x14ac:dyDescent="0.15">
      <c r="A148" s="665"/>
      <c r="B148" s="241" t="s">
        <v>604</v>
      </c>
      <c r="C148" s="719">
        <f>IF(H148&lt;1,0,(((VLOOKUP(G148,CC!$D$2:$F$670,3,FALSE))*H148)+IF(ISNUMBER(SEARCH("CMW",D150)),VLOOKUP(C161,CCBASE!$A$81:$C$85,3,FALSE),0)+(VLOOKUP(C153,CCBASE!$A$53:$C$73,3,FALSE)*D153)+(VLOOKUP(C154,CCBASE!$A$53:$C$73,3,FALSE)*D154))&amp;" HRS")</f>
        <v>0</v>
      </c>
      <c r="D148" s="720" t="str">
        <f>D150</f>
        <v>CANOPY TYPE</v>
      </c>
      <c r="E148" s="701">
        <f>CEILING(IF(C150="WALL",E150, (E150/2)),250)</f>
        <v>0</v>
      </c>
      <c r="F148" s="701">
        <f>IF(H148&lt;1,0,CEILING((F150-100)/H150,250))</f>
        <v>0</v>
      </c>
      <c r="G148" s="720" t="str">
        <f>D148&amp;F148&amp;E148</f>
        <v>CANOPY TYPE00</v>
      </c>
      <c r="H148" s="719">
        <f>IF(E150=0,0,IF(F150=0,0,(E150/(IF(C150="WALL",E150,(E150/2)))*H150)))</f>
        <v>0</v>
      </c>
      <c r="I148" s="719" t="str">
        <f>I150&amp;" m³/s"</f>
        <v xml:space="preserve"> m³/s</v>
      </c>
      <c r="J148" s="721"/>
      <c r="K148" s="722">
        <f>SUBTOTAL(9,K150:K163)</f>
        <v>0</v>
      </c>
      <c r="L148" s="703" t="str">
        <f>IF(K148=0,"-",O148/M148)</f>
        <v>-</v>
      </c>
      <c r="M148" s="722">
        <f>SUBTOTAL(9,M150:M163)</f>
        <v>0</v>
      </c>
      <c r="N148" s="704">
        <f>SUBTOTAL(9,N150:N163)</f>
        <v>0</v>
      </c>
      <c r="O148" s="722">
        <f>SUBTOTAL(9,O150:O163)</f>
        <v>0</v>
      </c>
      <c r="P148" s="672"/>
      <c r="Q148" s="672"/>
      <c r="R148" s="672"/>
      <c r="S148" s="712"/>
      <c r="T148" s="672"/>
      <c r="X148" s="672"/>
      <c r="Y148" s="672"/>
      <c r="Z148" s="672"/>
    </row>
    <row r="149" spans="1:26" ht="15" hidden="1" customHeight="1" outlineLevel="1" x14ac:dyDescent="0.15">
      <c r="B149" s="723"/>
      <c r="C149" s="724" t="s">
        <v>198</v>
      </c>
      <c r="D149" s="725" t="s">
        <v>255</v>
      </c>
      <c r="E149" s="724" t="s">
        <v>128</v>
      </c>
      <c r="F149" s="724" t="s">
        <v>129</v>
      </c>
      <c r="G149" s="724" t="s">
        <v>172</v>
      </c>
      <c r="H149" s="724" t="s">
        <v>197</v>
      </c>
      <c r="I149" s="725" t="s">
        <v>256</v>
      </c>
      <c r="J149" s="726"/>
      <c r="K149" s="727"/>
      <c r="L149" s="727"/>
      <c r="M149" s="728"/>
      <c r="N149" s="729"/>
      <c r="O149" s="711"/>
      <c r="S149" s="693"/>
      <c r="Y149" s="672"/>
    </row>
    <row r="150" spans="1:26" ht="15" hidden="1" customHeight="1" outlineLevel="1" x14ac:dyDescent="0.2">
      <c r="A150" s="665">
        <v>210</v>
      </c>
      <c r="B150" s="730" t="s">
        <v>182</v>
      </c>
      <c r="C150" s="731" t="s">
        <v>183</v>
      </c>
      <c r="D150" s="732" t="s">
        <v>130</v>
      </c>
      <c r="E150" s="733"/>
      <c r="F150" s="733"/>
      <c r="G150" s="733"/>
      <c r="H150" s="734"/>
      <c r="I150" s="733"/>
      <c r="J150" s="735">
        <f>IF(ISNA(C148),0,IF(F148&gt;3000,0,(IF(H148&lt;1,0,((VLOOKUP(G148,CC!$D$2:$E$670,2,FALSE))*H148)+((VLOOKUP(G148,CC!$D$2:$AD$670,17,FALSE)*(H148/H150)))))))</f>
        <v>0</v>
      </c>
      <c r="K150" s="736">
        <f>J150*1</f>
        <v>0</v>
      </c>
      <c r="L150" s="737">
        <v>0.44</v>
      </c>
      <c r="M150" s="738">
        <f t="shared" ref="M150:M163" si="42">K150/(1-L150)*(1+$C$9)</f>
        <v>0</v>
      </c>
      <c r="N150" s="736">
        <f>M150*VLOOKUP($B$9,'Base Costs'!$A$32:$B$37,2,FALSE)</f>
        <v>0</v>
      </c>
      <c r="O150" s="739">
        <f t="shared" ref="O150:O154" si="43">M150-K150</f>
        <v>0</v>
      </c>
      <c r="S150" s="693"/>
      <c r="Y150" s="672"/>
    </row>
    <row r="151" spans="1:26" ht="15" hidden="1" customHeight="1" outlineLevel="1" x14ac:dyDescent="0.15">
      <c r="A151" s="665">
        <v>104</v>
      </c>
      <c r="B151" s="730" t="s">
        <v>4</v>
      </c>
      <c r="C151" s="732" t="s">
        <v>185</v>
      </c>
      <c r="D151" s="740"/>
      <c r="E151" s="741"/>
      <c r="F151" s="742"/>
      <c r="G151" s="743"/>
      <c r="H151" s="667"/>
      <c r="I151" s="667"/>
      <c r="J151" s="735">
        <f>IF(ISNA(C148),0,IF(D151=0,0,IF(C151="FLO",VLOOKUP(E151,'Base Costs'!$M$4:$N$14,2,FALSE),IF(C151="LED STRIP",VLOOKUP(E151,'Base Costs'!$M$4:$N$14,2,FALSE),(VLOOKUP(C151,'Base Costs'!$M$4:$N$14,2,FALSE))))))</f>
        <v>0</v>
      </c>
      <c r="K151" s="736">
        <f>J151*D151</f>
        <v>0</v>
      </c>
      <c r="L151" s="737">
        <v>0.31</v>
      </c>
      <c r="M151" s="738">
        <f t="shared" si="42"/>
        <v>0</v>
      </c>
      <c r="N151" s="736">
        <f>M151*VLOOKUP($B$9,'Base Costs'!$A$32:$B$37,2,FALSE)</f>
        <v>0</v>
      </c>
      <c r="O151" s="739">
        <f t="shared" si="43"/>
        <v>0</v>
      </c>
      <c r="P151" s="744"/>
      <c r="S151" s="693"/>
      <c r="Y151" s="672"/>
    </row>
    <row r="152" spans="1:26" ht="15" hidden="1" customHeight="1" outlineLevel="1" x14ac:dyDescent="0.15">
      <c r="A152" s="665">
        <v>234</v>
      </c>
      <c r="B152" s="269" t="s">
        <v>839</v>
      </c>
      <c r="C152" s="745" t="s">
        <v>839</v>
      </c>
      <c r="D152" s="746"/>
      <c r="E152" s="747"/>
      <c r="F152" s="748"/>
      <c r="G152" s="749"/>
      <c r="H152" s="750"/>
      <c r="I152" s="751">
        <v>1</v>
      </c>
      <c r="J152" s="735">
        <f>VLOOKUP(C152,'Base Costs'!$U$4:$V$41,2,FALSE)</f>
        <v>0</v>
      </c>
      <c r="K152" s="736">
        <f t="shared" ref="K152" si="44">J152*1</f>
        <v>0</v>
      </c>
      <c r="L152" s="737">
        <v>0.35</v>
      </c>
      <c r="M152" s="738">
        <f t="shared" si="42"/>
        <v>0</v>
      </c>
      <c r="N152" s="736">
        <f>M152*VLOOKUP($B$9,'Base Costs'!$A$32:$B$37,2,FALSE)</f>
        <v>0</v>
      </c>
      <c r="O152" s="739">
        <f t="shared" si="43"/>
        <v>0</v>
      </c>
      <c r="S152" s="693"/>
      <c r="Y152" s="672"/>
    </row>
    <row r="153" spans="1:26" ht="15" hidden="1" customHeight="1" outlineLevel="1" x14ac:dyDescent="0.15">
      <c r="B153" s="583" t="s">
        <v>339</v>
      </c>
      <c r="C153" s="33" t="s">
        <v>342</v>
      </c>
      <c r="D153" s="734"/>
      <c r="E153" s="753" t="str">
        <f>IF(C153="","",VLOOKUP(C153,CCBASE!$A$53:$D$73,4,FALSE))</f>
        <v/>
      </c>
      <c r="F153" s="754"/>
      <c r="G153" s="749"/>
      <c r="H153" s="750"/>
      <c r="I153" s="755"/>
      <c r="J153" s="735">
        <f>IF(C153="",0,VLOOKUP(C153,CCBASE!$A$53:$C$73,2,FALSE))</f>
        <v>0</v>
      </c>
      <c r="K153" s="736">
        <f>J153*D153</f>
        <v>0</v>
      </c>
      <c r="L153" s="737">
        <v>0.44</v>
      </c>
      <c r="M153" s="738">
        <f t="shared" si="42"/>
        <v>0</v>
      </c>
      <c r="N153" s="736">
        <f>M153*VLOOKUP($B$9,'Base Costs'!$A$32:$B$37,2,FALSE)</f>
        <v>0</v>
      </c>
      <c r="O153" s="739">
        <f t="shared" si="43"/>
        <v>0</v>
      </c>
      <c r="S153" s="693"/>
      <c r="Y153" s="672"/>
    </row>
    <row r="154" spans="1:26" ht="15" hidden="1" customHeight="1" outlineLevel="1" x14ac:dyDescent="0.15">
      <c r="B154" s="997" t="s">
        <v>339</v>
      </c>
      <c r="C154" s="998" t="s">
        <v>1366</v>
      </c>
      <c r="D154" s="986"/>
      <c r="E154" s="987" t="str">
        <f>IF(C154="","",VLOOKUP(C154,CCBASE!$A$53:$D$73,4,FALSE))</f>
        <v>SECTION(S) OF CANOPY</v>
      </c>
      <c r="F154" s="988"/>
      <c r="G154" s="983"/>
      <c r="H154" s="989"/>
      <c r="I154" s="990"/>
      <c r="J154" s="991">
        <f>IF(C154="",0,VLOOKUP(C154,CCBASE!$A$53:$C$73,2,FALSE))</f>
        <v>50</v>
      </c>
      <c r="K154" s="992">
        <f>J154*D154</f>
        <v>0</v>
      </c>
      <c r="L154" s="993">
        <v>0.44</v>
      </c>
      <c r="M154" s="994">
        <f t="shared" si="42"/>
        <v>0</v>
      </c>
      <c r="N154" s="992">
        <f>M154*VLOOKUP($B$9,'Base Costs'!$A$32:$B$37,2,FALSE)</f>
        <v>0</v>
      </c>
      <c r="O154" s="995">
        <f t="shared" si="43"/>
        <v>0</v>
      </c>
      <c r="P154" s="996" t="s">
        <v>1416</v>
      </c>
      <c r="S154" s="693"/>
      <c r="Y154" s="672"/>
    </row>
    <row r="155" spans="1:26" ht="15" hidden="1" customHeight="1" outlineLevel="1" x14ac:dyDescent="0.15">
      <c r="A155" s="665">
        <v>289</v>
      </c>
      <c r="B155" s="583" t="s">
        <v>9</v>
      </c>
      <c r="C155" s="33" t="s">
        <v>565</v>
      </c>
      <c r="D155" s="756">
        <f>ROUNDUP($F150/1000,0)</f>
        <v>0</v>
      </c>
      <c r="E155" s="1107" t="s">
        <v>1059</v>
      </c>
      <c r="F155" s="1105"/>
      <c r="G155" s="754"/>
      <c r="H155" s="750"/>
      <c r="I155" s="755"/>
      <c r="J155" s="735">
        <f>IF(D155=0,0,VLOOKUP(C155,'Base Costs'!$A$19:$B$22,2,FALSE))</f>
        <v>0</v>
      </c>
      <c r="K155" s="736">
        <f>J155*D155</f>
        <v>0</v>
      </c>
      <c r="L155" s="737">
        <v>0.44</v>
      </c>
      <c r="M155" s="738">
        <f t="shared" si="42"/>
        <v>0</v>
      </c>
      <c r="N155" s="736">
        <f>M155*VLOOKUP($B$9,'Base Costs'!$A$32:$B$37,2,FALSE)</f>
        <v>0</v>
      </c>
      <c r="O155" s="739">
        <f>M155-K155</f>
        <v>0</v>
      </c>
      <c r="S155" s="693"/>
      <c r="Y155" s="672"/>
    </row>
    <row r="156" spans="1:26" ht="15" hidden="1" customHeight="1" outlineLevel="1" x14ac:dyDescent="0.15">
      <c r="A156" s="665">
        <v>242</v>
      </c>
      <c r="B156" s="583" t="s">
        <v>44</v>
      </c>
      <c r="C156" s="752"/>
      <c r="D156" s="741" t="s">
        <v>335</v>
      </c>
      <c r="E156" s="749"/>
      <c r="F156" s="748"/>
      <c r="G156" s="749"/>
      <c r="H156" s="750"/>
      <c r="I156" s="755"/>
      <c r="J156" s="735">
        <f>IF(C156=0,0,'Base Costs'!$B$26)</f>
        <v>0</v>
      </c>
      <c r="K156" s="736">
        <f>J156*C156</f>
        <v>0</v>
      </c>
      <c r="L156" s="737">
        <v>0.44</v>
      </c>
      <c r="M156" s="738">
        <f t="shared" si="42"/>
        <v>0</v>
      </c>
      <c r="N156" s="736">
        <f>M156*VLOOKUP($B$9,'Base Costs'!$A$32:$B$37,2,FALSE)</f>
        <v>0</v>
      </c>
      <c r="O156" s="739">
        <f t="shared" ref="O156:O163" si="45">M156-K156</f>
        <v>0</v>
      </c>
      <c r="S156" s="693"/>
      <c r="Y156" s="672"/>
    </row>
    <row r="157" spans="1:26" ht="15" hidden="1" customHeight="1" outlineLevel="1" x14ac:dyDescent="0.15">
      <c r="A157" s="665">
        <v>220</v>
      </c>
      <c r="B157" s="730" t="s">
        <v>43</v>
      </c>
      <c r="C157" s="752"/>
      <c r="D157" s="741" t="s">
        <v>336</v>
      </c>
      <c r="E157" s="748"/>
      <c r="F157" s="748"/>
      <c r="G157" s="757" t="str">
        <f>IF(ISNUMBER(SEARCH("KSA",$D158)),"MAX. EXTRACT (m³/s)", "")</f>
        <v/>
      </c>
      <c r="H157" s="1102" t="str">
        <f>IF(ISNUMBER(SEARCH("MUAP",$D150)),"MAX.  SUPPLY (m³/s)",IF(ISNUMBER(SEARCH("SPECIAL",$D150)),"MAX.  SUPPLY (m³/s)",(IF(ISNUMBER(SEARCH("F",$D150)),"MAX.  SUPPLY (m³/s)",""))))</f>
        <v/>
      </c>
      <c r="I157" s="1102"/>
      <c r="J157" s="735">
        <f>IF(C157=0,0,'Base Costs'!$B$29)</f>
        <v>0</v>
      </c>
      <c r="K157" s="736">
        <f>J157*C157</f>
        <v>0</v>
      </c>
      <c r="L157" s="737">
        <v>0.44</v>
      </c>
      <c r="M157" s="738">
        <f t="shared" si="42"/>
        <v>0</v>
      </c>
      <c r="N157" s="736">
        <f>M157*VLOOKUP($B$9,'Base Costs'!$A$32:$B$37,2,FALSE)</f>
        <v>0</v>
      </c>
      <c r="O157" s="739">
        <f t="shared" si="45"/>
        <v>0</v>
      </c>
      <c r="S157" s="693"/>
      <c r="Y157" s="672"/>
    </row>
    <row r="158" spans="1:26" ht="15" hidden="1" customHeight="1" outlineLevel="1" x14ac:dyDescent="0.15">
      <c r="A158" s="665">
        <v>103</v>
      </c>
      <c r="B158" s="730" t="s">
        <v>3</v>
      </c>
      <c r="C158" s="740">
        <f>IF(ISNUMBER(SEARCH("CMW",D150)),1,IF(F148=0,0,(ROUNDDOWN(((((F150-(100+(50*H148))))/H150)/500),0)*H148)))</f>
        <v>0</v>
      </c>
      <c r="D158" s="741" t="str">
        <f>VLOOKUP(D150,'Base Costs'!$A$39:$B$58,2,FALSE)</f>
        <v>FILTER TYPE</v>
      </c>
      <c r="E158" s="758" t="str">
        <f>IF(C158=0,0,IF(D158="KSA",ROUND(I150/C158,3),""))&amp; "  m³/s per filter"</f>
        <v>0  m³/s per filter</v>
      </c>
      <c r="F158" s="758" t="str">
        <f>IF(C158=0," Pa",ROUND((((I150*3600)/(C158*I147))^2),1)+20&amp; " Pa")</f>
        <v xml:space="preserve"> Pa</v>
      </c>
      <c r="G158" s="759" t="str">
        <f>IF(ISNUMBER(SEARCH("KSA",$D158)),$C158*0.25, "")</f>
        <v/>
      </c>
      <c r="H158" s="1103" t="str">
        <f>IF(ISNUMBER(SEARCH("MUAP",$D150)),0.225*($F150/1000),IF(ISNUMBER(SEARCH("SPECIAL",$D150)),0.225*($F150/1000),(IF(ISNUMBER(SEARCH("F",$D150)),0.225*($F150/1000),""))))</f>
        <v/>
      </c>
      <c r="I158" s="1103"/>
      <c r="J158" s="735">
        <f>IF(ISNA(D158),0,(VLOOKUP(D158,'Base Costs'!$Q$4:$R$11,2,FALSE)))</f>
        <v>0</v>
      </c>
      <c r="K158" s="736">
        <f>IF(ISNA(D158),0,IF(D158="MX",J158*1,J158*C158))</f>
        <v>0</v>
      </c>
      <c r="L158" s="737">
        <v>0.44</v>
      </c>
      <c r="M158" s="738">
        <f t="shared" si="42"/>
        <v>0</v>
      </c>
      <c r="N158" s="736">
        <f>M158*VLOOKUP($B$9,'Base Costs'!$A$32:$B$37,2,FALSE)</f>
        <v>0</v>
      </c>
      <c r="O158" s="739">
        <f t="shared" si="45"/>
        <v>0</v>
      </c>
      <c r="S158" s="693"/>
      <c r="Y158" s="672"/>
    </row>
    <row r="159" spans="1:26" ht="15" hidden="1" customHeight="1" outlineLevel="1" x14ac:dyDescent="0.15">
      <c r="B159" s="269" t="s">
        <v>1351</v>
      </c>
      <c r="C159" s="740">
        <v>0</v>
      </c>
      <c r="D159" s="856" t="str">
        <f>VLOOKUP(D150,'Base Costs'!$A$39:$C$58,3,FALSE)</f>
        <v>PSU</v>
      </c>
      <c r="E159" s="758" t="str">
        <f>IF(C159=0,0,IF(D159="PSU",ROUND(I150/C159,3),""))&amp; " m³/s per filter"</f>
        <v>0 m³/s per filter</v>
      </c>
      <c r="F159" s="758" t="str">
        <f>IF(C159=0," Pa",ROUND((((I150*3600)/(C159*I147))^2),1)+20&amp; " Pa")</f>
        <v xml:space="preserve"> Pa</v>
      </c>
      <c r="G159" s="759" t="str">
        <f>IF(ISNUMBER(SEARCH("KSA",$D159)),$C159*0.25, "")</f>
        <v/>
      </c>
      <c r="H159" s="1103" t="str">
        <f>IF(ISNUMBER(SEARCH("MUAP",$D150)),0.225*($F150/1000),IF(ISNUMBER(SEARCH("SPECIAL",$D150)),0.225*($F150/1000),(IF(ISNUMBER(SEARCH("F",$D150)),0.225*($F150/1000),""))))</f>
        <v/>
      </c>
      <c r="I159" s="1103"/>
      <c r="J159" s="735">
        <f>IF(ISNA(D159),0,(VLOOKUP(D159,'Base Costs'!$Q$4:$R$13,2,FALSE)))</f>
        <v>112.678</v>
      </c>
      <c r="K159" s="736">
        <f>IF(ISNA(D159),0,IF(D159="MX",J159*1,J159*C159))</f>
        <v>0</v>
      </c>
      <c r="L159" s="737">
        <v>0.44</v>
      </c>
      <c r="M159" s="738">
        <f t="shared" si="42"/>
        <v>0</v>
      </c>
      <c r="N159" s="736">
        <f>M159*VLOOKUP($B$9,'Base Costs'!$A$32:$B$37,2,FALSE)</f>
        <v>0</v>
      </c>
      <c r="O159" s="739">
        <f t="shared" si="45"/>
        <v>0</v>
      </c>
      <c r="S159" s="693"/>
      <c r="Y159" s="672"/>
    </row>
    <row r="160" spans="1:26" ht="15" hidden="1" customHeight="1" outlineLevel="1" x14ac:dyDescent="0.15">
      <c r="A160" s="665">
        <v>107</v>
      </c>
      <c r="B160" s="760" t="str">
        <f>IF(ISNUMBER(SEARCH("UV",D150)),"UV-C COMPONENTS",IF(ISNUMBER(SEARCH("CMW",D150)),"WATERWASH COMPONENTS",""))</f>
        <v/>
      </c>
      <c r="C160" s="761" t="str">
        <f>IF(H148=0,"UVR",IF(I150=0,"UVR",IF(I160&gt;0,("UVR")&amp;(INDEX('Base Costs'!$AH$5:$AI$10,(MATCH((I150/H148),'Base Costs'!$AI$5:$AI$10,-1)),1))&amp;("-")&amp;(H148),"UVR")))</f>
        <v>UVR</v>
      </c>
      <c r="D160" s="769" t="str">
        <f>VLOOKUP(C160,'Base Costs'!$Z$4:$AF$77,7,FALSE)&amp;" m³/s"</f>
        <v xml:space="preserve"> m³/s</v>
      </c>
      <c r="E160" s="763" t="str">
        <f>IF(ISNUMBER(SEARCH("L",C160)),"LONG RACK IN SECTION","SHORTRACK")</f>
        <v>SHORTRACK</v>
      </c>
      <c r="F160" s="764" t="str">
        <f>IF(ISNUMBER(SEARCH("L",C160)),ROUND(F150/H150,1)&amp;" mm","")</f>
        <v/>
      </c>
      <c r="G160" s="754"/>
      <c r="H160" s="754"/>
      <c r="I160" s="751">
        <f>IF(ISNUMBER(SEARCH("UV",D150)),1, 0)</f>
        <v>0</v>
      </c>
      <c r="J160" s="735">
        <f>IF(ISNA(C160),0,VLOOKUP(C160,'Base Costs'!$Z$4:$AF$77,2,FALSE))</f>
        <v>0</v>
      </c>
      <c r="K160" s="736">
        <f t="shared" ref="K160" si="46">J160*1</f>
        <v>0</v>
      </c>
      <c r="L160" s="737">
        <v>0.44</v>
      </c>
      <c r="M160" s="738">
        <f t="shared" si="42"/>
        <v>0</v>
      </c>
      <c r="N160" s="736">
        <f>M160*VLOOKUP($B$9,'Base Costs'!$A$32:$B$37,2,FALSE)</f>
        <v>0</v>
      </c>
      <c r="O160" s="739">
        <f t="shared" si="45"/>
        <v>0</v>
      </c>
      <c r="S160" s="693"/>
      <c r="Y160" s="672"/>
    </row>
    <row r="161" spans="1:26" ht="15" hidden="1" customHeight="1" outlineLevel="1" x14ac:dyDescent="0.15">
      <c r="B161" s="730" t="str">
        <f>IF(ISNUMBER(SEARCH("UV",D150)),"UV-C 2ND FILTER",IF(ISNUMBER(SEARCH("CMW",D150)),"CONTROL PANEL",""))</f>
        <v/>
      </c>
      <c r="C161" s="758" t="s">
        <v>588</v>
      </c>
      <c r="D161" s="760" t="str">
        <f>IF(ISNUMBER(SEARCH("CP1S",$C161)),"Up to 12m of canopy","")</f>
        <v/>
      </c>
      <c r="E161" s="760" t="str">
        <f>IF(ISNUMBER(SEARCH("CMW",$D150)),"CWS REQUIREMENT @ 2Bar","")</f>
        <v/>
      </c>
      <c r="F161" s="765" t="str">
        <f>IF(ISNUMBER(SEARCH("CMW",$D150)),$F150/1000*0.02&amp;" L/S","")</f>
        <v/>
      </c>
      <c r="G161" s="754"/>
      <c r="H161" s="750"/>
      <c r="I161" s="751">
        <f>C158</f>
        <v>0</v>
      </c>
      <c r="J161" s="735">
        <f>IF(ISNUMBER(SEARCH("CMW",D150)),VLOOKUP(C161,CCBASE!$A$81:$B$85,2,FALSE),(IF(I160&gt;0,'Base Costs'!$R$7,0)))</f>
        <v>0</v>
      </c>
      <c r="K161" s="736">
        <f>J161*C158</f>
        <v>0</v>
      </c>
      <c r="L161" s="737">
        <v>0.44</v>
      </c>
      <c r="M161" s="738">
        <f t="shared" si="42"/>
        <v>0</v>
      </c>
      <c r="N161" s="736">
        <f>M161*VLOOKUP($B$9,'Base Costs'!$A$32:$B$37,2,FALSE)</f>
        <v>0</v>
      </c>
      <c r="O161" s="739">
        <f t="shared" si="45"/>
        <v>0</v>
      </c>
      <c r="S161" s="693"/>
      <c r="Y161" s="672"/>
    </row>
    <row r="162" spans="1:26" ht="15" hidden="1" customHeight="1" outlineLevel="1" x14ac:dyDescent="0.15">
      <c r="A162" s="665">
        <v>285</v>
      </c>
      <c r="B162" s="730" t="str">
        <f>IF(ISNUMBER(SEARCH("UV",D150)),"UV-C WORKSHOP WIRING",IF(ISNUMBER(SEARCH("CMW",D150)),"W/W PODS",""))</f>
        <v/>
      </c>
      <c r="C162" s="758" t="s">
        <v>714</v>
      </c>
      <c r="D162" s="758">
        <v>0</v>
      </c>
      <c r="E162" s="760" t="str">
        <f>IF(ISNUMBER(SEARCH("CMW",$D150)),"HWS REQUIREMENT @ 60°C ","")</f>
        <v/>
      </c>
      <c r="F162" s="766" t="str">
        <f>IF(ISNUMBER(SEARCH("CMW",$D150)),$F150/1000*0.103&amp;" L/S","")</f>
        <v/>
      </c>
      <c r="G162" s="754"/>
      <c r="H162" s="750"/>
      <c r="I162" s="751">
        <f>IF(I160&gt;0,H148,0)</f>
        <v>0</v>
      </c>
      <c r="J162" s="735">
        <f>IF(ISNUMBER(SEARCH("CMW",D150)),VLOOKUP(C162,'Base Costs'!$Q$35:$R$45,2,FALSE),IF(I162=0,0,36*1.03))</f>
        <v>0</v>
      </c>
      <c r="K162" s="736">
        <f>IF(ISNUMBER(SEARCH("CMW",D150)),J162*D162,J162*H148)</f>
        <v>0</v>
      </c>
      <c r="L162" s="737">
        <v>0.44</v>
      </c>
      <c r="M162" s="738">
        <f t="shared" si="42"/>
        <v>0</v>
      </c>
      <c r="N162" s="736">
        <f>M162*VLOOKUP($B$9,'Base Costs'!$A$32:$B$37,2,FALSE)</f>
        <v>0</v>
      </c>
      <c r="O162" s="739">
        <f t="shared" si="45"/>
        <v>0</v>
      </c>
      <c r="S162" s="693"/>
      <c r="Y162" s="672"/>
    </row>
    <row r="163" spans="1:26" ht="15" hidden="1" customHeight="1" outlineLevel="1" x14ac:dyDescent="0.15">
      <c r="A163" s="665">
        <v>286</v>
      </c>
      <c r="B163" s="730" t="str">
        <f>IF(ISNUMBER(SEARCH("CMW",$D150)),"CWS/HWS PIPEWORK UP TO 5M",IF(ISNUMBER(SEARCH("UV",$D150)),"MU5 INTERFACE", ""))</f>
        <v/>
      </c>
      <c r="C163" s="758">
        <v>1</v>
      </c>
      <c r="D163" s="767"/>
      <c r="E163" s="760" t="str">
        <f>IF(ISNUMBER(SEARCH("CMW",$D150)),"HW STORAGE 3m wash","")</f>
        <v/>
      </c>
      <c r="F163" s="765" t="str">
        <f>IF(ISNUMBER(SEARCH("CMW",$D150)),($F150/1000)*0.103*180&amp;" L","")</f>
        <v/>
      </c>
      <c r="G163" s="749"/>
      <c r="H163" s="750"/>
      <c r="I163" s="751">
        <f>IF(I160=0,0,1)</f>
        <v>0</v>
      </c>
      <c r="J163" s="735">
        <f>IF(B163="CWS/HWS PIPEWORK UP TO 5M",CCBASE!$B$65,IF(I163=0,0,100*1.44))</f>
        <v>0</v>
      </c>
      <c r="K163" s="736">
        <f>J163*C163</f>
        <v>0</v>
      </c>
      <c r="L163" s="737">
        <v>0.44</v>
      </c>
      <c r="M163" s="738">
        <f t="shared" si="42"/>
        <v>0</v>
      </c>
      <c r="N163" s="736">
        <f>M163*VLOOKUP($B$9,'Base Costs'!$A$32:$B$37,2,FALSE)</f>
        <v>0</v>
      </c>
      <c r="O163" s="739">
        <f t="shared" si="45"/>
        <v>0</v>
      </c>
      <c r="S163" s="693"/>
      <c r="Y163" s="672"/>
    </row>
    <row r="164" spans="1:26" ht="15" customHeight="1" collapsed="1" x14ac:dyDescent="0.15">
      <c r="B164" s="713"/>
      <c r="C164" s="770"/>
      <c r="E164" s="770"/>
      <c r="F164" s="770"/>
      <c r="G164" s="715" t="s">
        <v>347</v>
      </c>
      <c r="H164" s="714"/>
      <c r="I164" s="715">
        <f>IF(ISNUMBER(SEARCH("UV",D167)),49.7,71.75)</f>
        <v>71.75</v>
      </c>
      <c r="J164" s="716"/>
      <c r="K164" s="771"/>
      <c r="L164" s="772"/>
      <c r="M164" s="771"/>
      <c r="N164" s="771"/>
      <c r="S164" s="693"/>
      <c r="Y164" s="672"/>
    </row>
    <row r="165" spans="1:26" s="673" customFormat="1" ht="15" customHeight="1" x14ac:dyDescent="0.15">
      <c r="A165" s="665"/>
      <c r="B165" s="241" t="s">
        <v>604</v>
      </c>
      <c r="C165" s="719">
        <f>IF(H165&lt;1,0,(((VLOOKUP(G165,CC!$D$2:$F$670,3,FALSE))*H165)+IF(ISNUMBER(SEARCH("CMW",D167)),VLOOKUP(C178,CCBASE!$A$81:$C$85,3,FALSE),0)+(VLOOKUP(C170,CCBASE!$A$53:$C$73,3,FALSE)*D170)+(VLOOKUP(C171,CCBASE!$A$53:$C$73,3,FALSE)*D171))&amp;" HRS")</f>
        <v>0</v>
      </c>
      <c r="D165" s="720" t="str">
        <f>D167</f>
        <v>CANOPY TYPE</v>
      </c>
      <c r="E165" s="701">
        <f>CEILING(IF(C167="WALL",E167, (E167/2)),250)</f>
        <v>0</v>
      </c>
      <c r="F165" s="701">
        <f>IF(H165&lt;1,0,CEILING((F167-100)/H167,250))</f>
        <v>0</v>
      </c>
      <c r="G165" s="720" t="str">
        <f>D165&amp;F165&amp;E165</f>
        <v>CANOPY TYPE00</v>
      </c>
      <c r="H165" s="719">
        <f>IF(E167=0,0,IF(F167=0,0,(E167/(IF(C167="WALL",E167,(E167/2)))*H167)))</f>
        <v>0</v>
      </c>
      <c r="I165" s="719" t="str">
        <f>I167&amp;" m³/s"</f>
        <v xml:space="preserve"> m³/s</v>
      </c>
      <c r="J165" s="721"/>
      <c r="K165" s="722">
        <f>SUBTOTAL(9,K167:K180)</f>
        <v>0</v>
      </c>
      <c r="L165" s="703" t="str">
        <f>IF(K1657=0,"-",O165/M165)</f>
        <v>-</v>
      </c>
      <c r="M165" s="722">
        <f>SUBTOTAL(9,M167:M180)</f>
        <v>0</v>
      </c>
      <c r="N165" s="704">
        <f>SUBTOTAL(9,N167:N180)</f>
        <v>0</v>
      </c>
      <c r="O165" s="722">
        <f>SUBTOTAL(9,O167:O180)</f>
        <v>0</v>
      </c>
      <c r="P165" s="672"/>
      <c r="Q165" s="672"/>
      <c r="R165" s="672"/>
      <c r="S165" s="712"/>
      <c r="T165" s="672"/>
      <c r="X165" s="672"/>
      <c r="Y165" s="672"/>
      <c r="Z165" s="672"/>
    </row>
    <row r="166" spans="1:26" ht="15" hidden="1" customHeight="1" outlineLevel="1" x14ac:dyDescent="0.15">
      <c r="B166" s="723"/>
      <c r="C166" s="724" t="s">
        <v>198</v>
      </c>
      <c r="D166" s="725" t="s">
        <v>255</v>
      </c>
      <c r="E166" s="724" t="s">
        <v>128</v>
      </c>
      <c r="F166" s="724" t="s">
        <v>129</v>
      </c>
      <c r="G166" s="724" t="s">
        <v>172</v>
      </c>
      <c r="H166" s="724" t="s">
        <v>197</v>
      </c>
      <c r="I166" s="725" t="s">
        <v>256</v>
      </c>
      <c r="J166" s="726"/>
      <c r="K166" s="727"/>
      <c r="L166" s="727"/>
      <c r="M166" s="728"/>
      <c r="N166" s="729"/>
      <c r="O166" s="711"/>
      <c r="S166" s="693"/>
      <c r="Y166" s="672"/>
    </row>
    <row r="167" spans="1:26" ht="15" hidden="1" customHeight="1" outlineLevel="1" x14ac:dyDescent="0.2">
      <c r="A167" s="665">
        <v>210</v>
      </c>
      <c r="B167" s="730" t="s">
        <v>182</v>
      </c>
      <c r="C167" s="731" t="s">
        <v>183</v>
      </c>
      <c r="D167" s="732" t="s">
        <v>130</v>
      </c>
      <c r="E167" s="733"/>
      <c r="F167" s="733"/>
      <c r="G167" s="733"/>
      <c r="H167" s="734"/>
      <c r="I167" s="733"/>
      <c r="J167" s="735">
        <f>IF(ISNA(C165),0,IF(F165&gt;3000,0,(IF(H165&lt;1,0,((VLOOKUP(G165,CC!$D$2:$E$670,2,FALSE))*H165)+((VLOOKUP(G165,CC!$D$2:$AD$670,17,FALSE)*(H165/H167)))))))</f>
        <v>0</v>
      </c>
      <c r="K167" s="736">
        <f>J167*1</f>
        <v>0</v>
      </c>
      <c r="L167" s="737">
        <v>0.44</v>
      </c>
      <c r="M167" s="738">
        <f t="shared" ref="M167:M180" si="47">K167/(1-L167)*(1+$C$9)</f>
        <v>0</v>
      </c>
      <c r="N167" s="736">
        <f>M167*VLOOKUP($B$9,'Base Costs'!$A$32:$B$37,2,FALSE)</f>
        <v>0</v>
      </c>
      <c r="O167" s="739">
        <f t="shared" ref="O167:O171" si="48">M167-K167</f>
        <v>0</v>
      </c>
      <c r="S167" s="693"/>
      <c r="Y167" s="672"/>
    </row>
    <row r="168" spans="1:26" ht="15" hidden="1" customHeight="1" outlineLevel="1" x14ac:dyDescent="0.15">
      <c r="A168" s="665">
        <v>104</v>
      </c>
      <c r="B168" s="730" t="s">
        <v>4</v>
      </c>
      <c r="C168" s="732" t="s">
        <v>185</v>
      </c>
      <c r="D168" s="740"/>
      <c r="E168" s="741"/>
      <c r="F168" s="742"/>
      <c r="G168" s="743"/>
      <c r="H168" s="667"/>
      <c r="I168" s="667"/>
      <c r="J168" s="735">
        <f>IF(ISNA(C165),0,IF(D168=0,0,IF(C168="FLO",VLOOKUP(E168,'Base Costs'!$M$4:$N$14,2,FALSE),IF(C168="LED STRIP",VLOOKUP(E168,'Base Costs'!$M$4:$N$14,2,FALSE),(VLOOKUP(C168,'Base Costs'!$M$4:$N$14,2,FALSE))))))</f>
        <v>0</v>
      </c>
      <c r="K168" s="736">
        <f>J168*D168</f>
        <v>0</v>
      </c>
      <c r="L168" s="737">
        <v>0.31</v>
      </c>
      <c r="M168" s="738">
        <f t="shared" si="47"/>
        <v>0</v>
      </c>
      <c r="N168" s="736">
        <f>M168*VLOOKUP($B$9,'Base Costs'!$A$32:$B$37,2,FALSE)</f>
        <v>0</v>
      </c>
      <c r="O168" s="739">
        <f t="shared" si="48"/>
        <v>0</v>
      </c>
      <c r="P168" s="744"/>
      <c r="S168" s="693"/>
      <c r="Y168" s="672"/>
    </row>
    <row r="169" spans="1:26" ht="15" hidden="1" customHeight="1" outlineLevel="1" x14ac:dyDescent="0.15">
      <c r="A169" s="665">
        <v>234</v>
      </c>
      <c r="B169" s="269" t="s">
        <v>839</v>
      </c>
      <c r="C169" s="745" t="s">
        <v>839</v>
      </c>
      <c r="D169" s="746"/>
      <c r="E169" s="747"/>
      <c r="F169" s="748"/>
      <c r="G169" s="749"/>
      <c r="H169" s="750"/>
      <c r="I169" s="751">
        <v>1</v>
      </c>
      <c r="J169" s="735">
        <f>VLOOKUP(C169,'Base Costs'!$U$4:$V$41,2,FALSE)</f>
        <v>0</v>
      </c>
      <c r="K169" s="736">
        <f t="shared" ref="K169" si="49">J169*1</f>
        <v>0</v>
      </c>
      <c r="L169" s="737">
        <v>0.35</v>
      </c>
      <c r="M169" s="738">
        <f t="shared" si="47"/>
        <v>0</v>
      </c>
      <c r="N169" s="736">
        <f>M169*VLOOKUP($B$9,'Base Costs'!$A$32:$B$37,2,FALSE)</f>
        <v>0</v>
      </c>
      <c r="O169" s="739">
        <f t="shared" si="48"/>
        <v>0</v>
      </c>
      <c r="S169" s="693"/>
      <c r="Y169" s="672"/>
    </row>
    <row r="170" spans="1:26" ht="15" hidden="1" customHeight="1" outlineLevel="1" x14ac:dyDescent="0.15">
      <c r="B170" s="583" t="s">
        <v>339</v>
      </c>
      <c r="C170" s="33" t="s">
        <v>342</v>
      </c>
      <c r="D170" s="734"/>
      <c r="E170" s="753" t="str">
        <f>IF(C170="","",VLOOKUP(C170,CCBASE!$A$53:$D$73,4,FALSE))</f>
        <v/>
      </c>
      <c r="F170" s="754"/>
      <c r="G170" s="749"/>
      <c r="H170" s="750"/>
      <c r="I170" s="755"/>
      <c r="J170" s="735">
        <f>IF(C170="",0,VLOOKUP(C170,CCBASE!$A$53:$C$73,2,FALSE))</f>
        <v>0</v>
      </c>
      <c r="K170" s="736">
        <f>J170*D170</f>
        <v>0</v>
      </c>
      <c r="L170" s="737">
        <v>0.44</v>
      </c>
      <c r="M170" s="738">
        <f t="shared" si="47"/>
        <v>0</v>
      </c>
      <c r="N170" s="736">
        <f>M170*VLOOKUP($B$9,'Base Costs'!$A$32:$B$37,2,FALSE)</f>
        <v>0</v>
      </c>
      <c r="O170" s="739">
        <f t="shared" si="48"/>
        <v>0</v>
      </c>
      <c r="S170" s="693"/>
      <c r="Y170" s="672"/>
    </row>
    <row r="171" spans="1:26" ht="15" hidden="1" customHeight="1" outlineLevel="1" x14ac:dyDescent="0.15">
      <c r="B171" s="997" t="s">
        <v>339</v>
      </c>
      <c r="C171" s="998" t="s">
        <v>1366</v>
      </c>
      <c r="D171" s="986"/>
      <c r="E171" s="987" t="str">
        <f>IF(C171="","",VLOOKUP(C171,CCBASE!$A$53:$D$73,4,FALSE))</f>
        <v>SECTION(S) OF CANOPY</v>
      </c>
      <c r="F171" s="988"/>
      <c r="G171" s="983"/>
      <c r="H171" s="989"/>
      <c r="I171" s="990"/>
      <c r="J171" s="991">
        <f>IF(C171="",0,VLOOKUP(C171,CCBASE!$A$53:$C$73,2,FALSE))</f>
        <v>50</v>
      </c>
      <c r="K171" s="992">
        <f>J171*D171</f>
        <v>0</v>
      </c>
      <c r="L171" s="993">
        <v>0.44</v>
      </c>
      <c r="M171" s="994">
        <f t="shared" si="47"/>
        <v>0</v>
      </c>
      <c r="N171" s="992">
        <f>M171*VLOOKUP($B$9,'Base Costs'!$A$32:$B$37,2,FALSE)</f>
        <v>0</v>
      </c>
      <c r="O171" s="995">
        <f t="shared" si="48"/>
        <v>0</v>
      </c>
      <c r="P171" s="996" t="s">
        <v>1416</v>
      </c>
      <c r="S171" s="693"/>
      <c r="Y171" s="672"/>
    </row>
    <row r="172" spans="1:26" ht="15" hidden="1" customHeight="1" outlineLevel="1" x14ac:dyDescent="0.15">
      <c r="A172" s="665">
        <v>289</v>
      </c>
      <c r="B172" s="583" t="s">
        <v>9</v>
      </c>
      <c r="C172" s="33" t="s">
        <v>565</v>
      </c>
      <c r="D172" s="756">
        <f>ROUNDUP($F167/1000,0)</f>
        <v>0</v>
      </c>
      <c r="E172" s="1107" t="s">
        <v>1059</v>
      </c>
      <c r="F172" s="1105"/>
      <c r="G172" s="754"/>
      <c r="H172" s="750"/>
      <c r="I172" s="755"/>
      <c r="J172" s="735">
        <f>IF(D172=0,0,VLOOKUP(C172,'Base Costs'!$A$19:$B$22,2,FALSE))</f>
        <v>0</v>
      </c>
      <c r="K172" s="736">
        <f>J172*D172</f>
        <v>0</v>
      </c>
      <c r="L172" s="737">
        <v>0.44</v>
      </c>
      <c r="M172" s="738">
        <f t="shared" si="47"/>
        <v>0</v>
      </c>
      <c r="N172" s="736">
        <f>M172*VLOOKUP($B$9,'Base Costs'!$A$32:$B$37,2,FALSE)</f>
        <v>0</v>
      </c>
      <c r="O172" s="739">
        <f>M172-K172</f>
        <v>0</v>
      </c>
      <c r="S172" s="693"/>
      <c r="Y172" s="672"/>
    </row>
    <row r="173" spans="1:26" ht="15" hidden="1" customHeight="1" outlineLevel="1" x14ac:dyDescent="0.15">
      <c r="A173" s="665">
        <v>242</v>
      </c>
      <c r="B173" s="583" t="s">
        <v>44</v>
      </c>
      <c r="C173" s="752"/>
      <c r="D173" s="741" t="s">
        <v>335</v>
      </c>
      <c r="E173" s="749"/>
      <c r="F173" s="748"/>
      <c r="G173" s="749"/>
      <c r="H173" s="750"/>
      <c r="I173" s="755"/>
      <c r="J173" s="735">
        <f>IF(C173=0,0,'Base Costs'!$B$26)</f>
        <v>0</v>
      </c>
      <c r="K173" s="736">
        <f>J173*C173</f>
        <v>0</v>
      </c>
      <c r="L173" s="737">
        <v>0.44</v>
      </c>
      <c r="M173" s="738">
        <f t="shared" si="47"/>
        <v>0</v>
      </c>
      <c r="N173" s="736">
        <f>M173*VLOOKUP($B$9,'Base Costs'!$A$32:$B$37,2,FALSE)</f>
        <v>0</v>
      </c>
      <c r="O173" s="739">
        <f t="shared" ref="O173:O180" si="50">M173-K173</f>
        <v>0</v>
      </c>
      <c r="S173" s="693"/>
      <c r="Y173" s="672"/>
    </row>
    <row r="174" spans="1:26" ht="15" hidden="1" customHeight="1" outlineLevel="1" x14ac:dyDescent="0.15">
      <c r="A174" s="665">
        <v>220</v>
      </c>
      <c r="B174" s="730" t="s">
        <v>43</v>
      </c>
      <c r="C174" s="752"/>
      <c r="D174" s="741" t="s">
        <v>336</v>
      </c>
      <c r="E174" s="748"/>
      <c r="F174" s="748"/>
      <c r="G174" s="757" t="str">
        <f>IF(ISNUMBER(SEARCH("KSA",$D175)),"MAX. EXTRACT (m³/s)", "")</f>
        <v/>
      </c>
      <c r="H174" s="1102" t="str">
        <f>IF(ISNUMBER(SEARCH("MUAP",$D167)),"MAX.  SUPPLY (m³/s)",IF(ISNUMBER(SEARCH("SPECIAL",$D167)),"MAX.  SUPPLY (m³/s)",(IF(ISNUMBER(SEARCH("F",$D167)),"MAX.  SUPPLY (m³/s)",""))))</f>
        <v/>
      </c>
      <c r="I174" s="1102"/>
      <c r="J174" s="735">
        <f>IF(C174=0,0,'Base Costs'!$B$29)</f>
        <v>0</v>
      </c>
      <c r="K174" s="736">
        <f>J174*C174</f>
        <v>0</v>
      </c>
      <c r="L174" s="737">
        <v>0.44</v>
      </c>
      <c r="M174" s="738">
        <f t="shared" si="47"/>
        <v>0</v>
      </c>
      <c r="N174" s="736">
        <f>M174*VLOOKUP($B$9,'Base Costs'!$A$32:$B$37,2,FALSE)</f>
        <v>0</v>
      </c>
      <c r="O174" s="739">
        <f t="shared" si="50"/>
        <v>0</v>
      </c>
      <c r="S174" s="693"/>
      <c r="Y174" s="672"/>
    </row>
    <row r="175" spans="1:26" ht="15" hidden="1" customHeight="1" outlineLevel="1" x14ac:dyDescent="0.15">
      <c r="A175" s="665">
        <v>103</v>
      </c>
      <c r="B175" s="730" t="s">
        <v>3</v>
      </c>
      <c r="C175" s="740">
        <f>IF(ISNUMBER(SEARCH("CMW",D167)),1,IF(F165=0,0,(ROUNDDOWN(((((F167-(100+(50*H165))))/H167)/500),0)*H165)))</f>
        <v>0</v>
      </c>
      <c r="D175" s="741" t="str">
        <f>VLOOKUP(D167,'Base Costs'!$A$39:$B$58,2,FALSE)</f>
        <v>FILTER TYPE</v>
      </c>
      <c r="E175" s="758" t="str">
        <f>IF(C175=0,0,IF(D175="KSA",ROUND(I167/C175,3),""))&amp; "  m³/s per filter"</f>
        <v>0  m³/s per filter</v>
      </c>
      <c r="F175" s="758" t="str">
        <f>IF(C175=0," Pa",ROUND((((I167*3600)/(C175*I164))^2),1)+20&amp; " Pa")</f>
        <v xml:space="preserve"> Pa</v>
      </c>
      <c r="G175" s="759" t="str">
        <f>IF(ISNUMBER(SEARCH("KSA",$D175)),$C175*0.25, "")</f>
        <v/>
      </c>
      <c r="H175" s="1103" t="str">
        <f>IF(ISNUMBER(SEARCH("MUAP",$D167)),0.225*($F167/1000),IF(ISNUMBER(SEARCH("SPECIAL",$D167)),0.225*($F167/1000),(IF(ISNUMBER(SEARCH("F",$D167)),0.225*($F167/1000),""))))</f>
        <v/>
      </c>
      <c r="I175" s="1103"/>
      <c r="J175" s="735">
        <f>IF(ISNA(D175),0,(VLOOKUP(D175,'Base Costs'!$Q$4:$R$11,2,FALSE)))</f>
        <v>0</v>
      </c>
      <c r="K175" s="736">
        <f>IF(ISNA(D175),0,IF(D175="MX",J175*1,J175*C175))</f>
        <v>0</v>
      </c>
      <c r="L175" s="737">
        <v>0.44</v>
      </c>
      <c r="M175" s="738">
        <f t="shared" si="47"/>
        <v>0</v>
      </c>
      <c r="N175" s="736">
        <f>M175*VLOOKUP($B$9,'Base Costs'!$A$32:$B$37,2,FALSE)</f>
        <v>0</v>
      </c>
      <c r="O175" s="739">
        <f t="shared" si="50"/>
        <v>0</v>
      </c>
      <c r="S175" s="693"/>
      <c r="Y175" s="672"/>
    </row>
    <row r="176" spans="1:26" ht="15" hidden="1" customHeight="1" outlineLevel="1" x14ac:dyDescent="0.15">
      <c r="B176" s="269" t="s">
        <v>1351</v>
      </c>
      <c r="C176" s="740">
        <v>0</v>
      </c>
      <c r="D176" s="856" t="str">
        <f>VLOOKUP(D167,'Base Costs'!$A$39:$C$58,3,FALSE)</f>
        <v>PSU</v>
      </c>
      <c r="E176" s="758" t="str">
        <f>IF(C176=0,0,IF(D176="PSU",ROUND(I167/C176,3),""))&amp; " m³/s per filter"</f>
        <v>0 m³/s per filter</v>
      </c>
      <c r="F176" s="758" t="str">
        <f>IF(C176=0," Pa",ROUND((((I167*3600)/(C176*I164))^2),1)+20&amp; " Pa")</f>
        <v xml:space="preserve"> Pa</v>
      </c>
      <c r="G176" s="759" t="str">
        <f>IF(ISNUMBER(SEARCH("KSA",$D176)),$C176*0.25, "")</f>
        <v/>
      </c>
      <c r="H176" s="1103" t="str">
        <f>IF(ISNUMBER(SEARCH("MUAP",$D167)),0.225*($F167/1000),IF(ISNUMBER(SEARCH("SPECIAL",$D167)),0.225*($F167/1000),(IF(ISNUMBER(SEARCH("F",$D167)),0.225*($F167/1000),""))))</f>
        <v/>
      </c>
      <c r="I176" s="1103"/>
      <c r="J176" s="735">
        <f>IF(ISNA(D176),0,(VLOOKUP(D176,'Base Costs'!$Q$4:$R$13,2,FALSE)))</f>
        <v>112.678</v>
      </c>
      <c r="K176" s="736">
        <f>IF(ISNA(D176),0,IF(D176="MX",J176*1,J176*C176))</f>
        <v>0</v>
      </c>
      <c r="L176" s="737">
        <v>0.44</v>
      </c>
      <c r="M176" s="738">
        <f t="shared" si="47"/>
        <v>0</v>
      </c>
      <c r="N176" s="736">
        <f>M176*VLOOKUP($B$9,'Base Costs'!$A$32:$B$37,2,FALSE)</f>
        <v>0</v>
      </c>
      <c r="O176" s="739">
        <f t="shared" si="50"/>
        <v>0</v>
      </c>
      <c r="S176" s="693"/>
      <c r="Y176" s="672"/>
    </row>
    <row r="177" spans="1:25" ht="15" hidden="1" customHeight="1" outlineLevel="1" x14ac:dyDescent="0.15">
      <c r="A177" s="665">
        <v>107</v>
      </c>
      <c r="B177" s="760" t="str">
        <f>IF(ISNUMBER(SEARCH("UV",D167)),"UV-C COMPONENTS",IF(ISNUMBER(SEARCH("CMW",D167)),"WATERWASH COMPONENTS",""))</f>
        <v/>
      </c>
      <c r="C177" s="761" t="str">
        <f>IF(H165=0,"UVR",IF(I167=0,"UVR",IF(I177&gt;0,("UVR")&amp;(INDEX('Base Costs'!$AH$5:$AI$10,(MATCH((I167/H165),'Base Costs'!$AI$5:$AI$10,-1)),1))&amp;("-")&amp;(H165),"UVR")))</f>
        <v>UVR</v>
      </c>
      <c r="D177" s="769" t="str">
        <f>VLOOKUP(C177,'Base Costs'!$Z$4:$AF$77,7,FALSE)&amp;" m³/s"</f>
        <v xml:space="preserve"> m³/s</v>
      </c>
      <c r="E177" s="763" t="str">
        <f>IF(ISNUMBER(SEARCH("L",C177)),"LONG RACK IN SECTION","SHORTRACK")</f>
        <v>SHORTRACK</v>
      </c>
      <c r="F177" s="764" t="str">
        <f>IF(ISNUMBER(SEARCH("L",C177)),ROUND(F167/H167,1)&amp;" mm","")</f>
        <v/>
      </c>
      <c r="G177" s="754"/>
      <c r="H177" s="754"/>
      <c r="I177" s="751">
        <f>IF(ISNUMBER(SEARCH("UV",D167)),1, 0)</f>
        <v>0</v>
      </c>
      <c r="J177" s="735">
        <f>IF(ISNA(C177),0,VLOOKUP(C177,'Base Costs'!$Z$4:$AF$77,2,FALSE))</f>
        <v>0</v>
      </c>
      <c r="K177" s="736">
        <f t="shared" ref="K177" si="51">J177*1</f>
        <v>0</v>
      </c>
      <c r="L177" s="737">
        <v>0.44</v>
      </c>
      <c r="M177" s="738">
        <f t="shared" si="47"/>
        <v>0</v>
      </c>
      <c r="N177" s="736">
        <f>M177*VLOOKUP($B$9,'Base Costs'!$A$32:$B$37,2,FALSE)</f>
        <v>0</v>
      </c>
      <c r="O177" s="739">
        <f t="shared" si="50"/>
        <v>0</v>
      </c>
      <c r="S177" s="693"/>
      <c r="Y177" s="672"/>
    </row>
    <row r="178" spans="1:25" ht="15" hidden="1" customHeight="1" outlineLevel="1" x14ac:dyDescent="0.15">
      <c r="B178" s="730" t="str">
        <f>IF(ISNUMBER(SEARCH("UV",D167)),"UV-C 2ND FILTER",IF(ISNUMBER(SEARCH("CMW",D167)),"CONTROL PANEL",""))</f>
        <v/>
      </c>
      <c r="C178" s="758" t="s">
        <v>588</v>
      </c>
      <c r="D178" s="760" t="str">
        <f>IF(ISNUMBER(SEARCH("CP1S",$C178)),"Up to 12m of canopy","")</f>
        <v/>
      </c>
      <c r="E178" s="760" t="str">
        <f>IF(ISNUMBER(SEARCH("CMW",$D167)),"CWS REQUIREMENT @ 2Bar","")</f>
        <v/>
      </c>
      <c r="F178" s="765" t="str">
        <f>IF(ISNUMBER(SEARCH("CMW",$D167)),$F167/1000*0.02&amp;" L/S","")</f>
        <v/>
      </c>
      <c r="G178" s="754"/>
      <c r="H178" s="750"/>
      <c r="I178" s="751">
        <f>C175</f>
        <v>0</v>
      </c>
      <c r="J178" s="735">
        <f>IF(ISNUMBER(SEARCH("CMW",D167)),VLOOKUP(C178,CCBASE!$A$81:$B$85,2,FALSE),(IF(I177&gt;0,'Base Costs'!$R$7,0)))</f>
        <v>0</v>
      </c>
      <c r="K178" s="736">
        <f>J178*C175</f>
        <v>0</v>
      </c>
      <c r="L178" s="737">
        <v>0.44</v>
      </c>
      <c r="M178" s="738">
        <f t="shared" si="47"/>
        <v>0</v>
      </c>
      <c r="N178" s="736">
        <f>M178*VLOOKUP($B$9,'Base Costs'!$A$32:$B$37,2,FALSE)</f>
        <v>0</v>
      </c>
      <c r="O178" s="739">
        <f t="shared" si="50"/>
        <v>0</v>
      </c>
      <c r="S178" s="693"/>
      <c r="Y178" s="672"/>
    </row>
    <row r="179" spans="1:25" ht="15" hidden="1" customHeight="1" outlineLevel="1" x14ac:dyDescent="0.15">
      <c r="A179" s="665">
        <v>285</v>
      </c>
      <c r="B179" s="730" t="str">
        <f>IF(ISNUMBER(SEARCH("UV",D167)),"UV-C WORKSHOP WIRING",IF(ISNUMBER(SEARCH("CMW",D167)),"W/W PODS",""))</f>
        <v/>
      </c>
      <c r="C179" s="758" t="s">
        <v>714</v>
      </c>
      <c r="D179" s="758">
        <v>0</v>
      </c>
      <c r="E179" s="760" t="str">
        <f>IF(ISNUMBER(SEARCH("CMW",$D167)),"HWS REQUIREMENT @ 60°C ","")</f>
        <v/>
      </c>
      <c r="F179" s="766" t="str">
        <f>IF(ISNUMBER(SEARCH("CMW",$D167)),$F167/1000*0.103&amp;" L/S","")</f>
        <v/>
      </c>
      <c r="G179" s="754"/>
      <c r="H179" s="750"/>
      <c r="I179" s="751">
        <f>IF(I177&gt;0,H165,0)</f>
        <v>0</v>
      </c>
      <c r="J179" s="735">
        <f>IF(ISNUMBER(SEARCH("CMW",D167)),VLOOKUP(C179,'Base Costs'!$Q$35:$R$45,2,FALSE),IF(I179=0,0,36*1.03))</f>
        <v>0</v>
      </c>
      <c r="K179" s="736">
        <f>IF(ISNUMBER(SEARCH("CMW",D167)),J179*D179,J179*H165)</f>
        <v>0</v>
      </c>
      <c r="L179" s="737">
        <v>0.44</v>
      </c>
      <c r="M179" s="738">
        <f t="shared" si="47"/>
        <v>0</v>
      </c>
      <c r="N179" s="736">
        <f>M179*VLOOKUP($B$9,'Base Costs'!$A$32:$B$37,2,FALSE)</f>
        <v>0</v>
      </c>
      <c r="O179" s="739">
        <f t="shared" si="50"/>
        <v>0</v>
      </c>
      <c r="S179" s="693"/>
      <c r="Y179" s="672"/>
    </row>
    <row r="180" spans="1:25" ht="15" hidden="1" customHeight="1" outlineLevel="1" x14ac:dyDescent="0.15">
      <c r="A180" s="665">
        <v>286</v>
      </c>
      <c r="B180" s="730" t="str">
        <f>IF(ISNUMBER(SEARCH("CMW",$D167)),"CWS/HWS PIPEWORK UP TO 5M",IF(ISNUMBER(SEARCH("UV",$D167)),"MU5 INTERFACE", ""))</f>
        <v/>
      </c>
      <c r="C180" s="758">
        <v>1</v>
      </c>
      <c r="D180" s="767"/>
      <c r="E180" s="760" t="str">
        <f>IF(ISNUMBER(SEARCH("CMW",$D167)),"HW STORAGE 3m wash","")</f>
        <v/>
      </c>
      <c r="F180" s="765" t="str">
        <f>IF(ISNUMBER(SEARCH("CMW",$D167)),($F167/1000)*0.103*180&amp;" L","")</f>
        <v/>
      </c>
      <c r="G180" s="749"/>
      <c r="H180" s="750"/>
      <c r="I180" s="751">
        <f>IF(I177=0,0,1)</f>
        <v>0</v>
      </c>
      <c r="J180" s="735">
        <f>IF(B180="CWS/HWS PIPEWORK UP TO 5M",CCBASE!$B$65,IF(I180=0,0,100*1.44))</f>
        <v>0</v>
      </c>
      <c r="K180" s="736">
        <f>J180*C180</f>
        <v>0</v>
      </c>
      <c r="L180" s="737">
        <v>0.44</v>
      </c>
      <c r="M180" s="738">
        <f t="shared" si="47"/>
        <v>0</v>
      </c>
      <c r="N180" s="736">
        <f>M180*VLOOKUP($B$9,'Base Costs'!$A$32:$B$37,2,FALSE)</f>
        <v>0</v>
      </c>
      <c r="O180" s="739">
        <f t="shared" si="50"/>
        <v>0</v>
      </c>
      <c r="S180" s="693"/>
      <c r="Y180" s="672"/>
    </row>
    <row r="181" spans="1:25" ht="15" customHeight="1" collapsed="1" x14ac:dyDescent="0.15">
      <c r="B181" s="770"/>
      <c r="C181" s="770"/>
      <c r="D181" s="770"/>
      <c r="E181" s="770"/>
      <c r="F181" s="770"/>
      <c r="G181" s="770"/>
      <c r="H181" s="714"/>
      <c r="I181" s="714"/>
      <c r="J181" s="716"/>
      <c r="K181" s="771"/>
      <c r="L181" s="772"/>
      <c r="M181" s="771"/>
      <c r="N181" s="771"/>
      <c r="S181" s="693"/>
      <c r="Y181" s="672"/>
    </row>
    <row r="182" spans="1:25" ht="15" customHeight="1" x14ac:dyDescent="0.15">
      <c r="B182" s="1125" t="s">
        <v>47</v>
      </c>
      <c r="C182" s="1125"/>
      <c r="D182" s="1125"/>
      <c r="E182" s="1125"/>
      <c r="F182" s="1125"/>
      <c r="G182" s="1125"/>
      <c r="H182" s="719"/>
      <c r="I182" s="719"/>
      <c r="J182" s="773"/>
      <c r="K182" s="722">
        <f>SUBTOTAL(9,K183:K197)</f>
        <v>0</v>
      </c>
      <c r="L182" s="703" t="str">
        <f>IF(K182=0,"-",O182/M182)</f>
        <v>-</v>
      </c>
      <c r="M182" s="722">
        <f>SUBTOTAL(9,M183:M197)</f>
        <v>0</v>
      </c>
      <c r="N182" s="704">
        <f>SUBTOTAL(9,N183:N197)</f>
        <v>0</v>
      </c>
      <c r="O182" s="702">
        <f>SUBTOTAL(9,O183:O197)</f>
        <v>0</v>
      </c>
      <c r="S182" s="693"/>
    </row>
    <row r="183" spans="1:25" ht="15" customHeight="1" x14ac:dyDescent="0.15">
      <c r="A183" s="665">
        <v>222</v>
      </c>
      <c r="B183" s="588" t="s">
        <v>1100</v>
      </c>
      <c r="C183" s="774"/>
      <c r="D183" s="775" t="s">
        <v>45</v>
      </c>
      <c r="E183" s="1115" t="s">
        <v>727</v>
      </c>
      <c r="F183" s="1116"/>
      <c r="G183" s="1106"/>
      <c r="H183" s="1106"/>
      <c r="I183" s="1106"/>
      <c r="J183" s="776">
        <f>VLOOKUP(D183,'Base Costs'!E4:G213,2,FALSE)</f>
        <v>0</v>
      </c>
      <c r="K183" s="736">
        <f t="shared" ref="K183" si="52">C183*J183</f>
        <v>0</v>
      </c>
      <c r="L183" s="737">
        <v>0.33</v>
      </c>
      <c r="M183" s="738">
        <f t="shared" ref="M183:M197" si="53">K183/(1-L183)*(1+$C$9)</f>
        <v>0</v>
      </c>
      <c r="N183" s="736">
        <f>M183*VLOOKUP($B$9,'Base Costs'!$A$32:$B$37,2,FALSE)</f>
        <v>0</v>
      </c>
      <c r="O183" s="739">
        <f t="shared" ref="O183:O197" si="54">M183-K183</f>
        <v>0</v>
      </c>
      <c r="Q183" s="744"/>
      <c r="S183" s="693"/>
    </row>
    <row r="184" spans="1:25" ht="15" customHeight="1" x14ac:dyDescent="0.15">
      <c r="A184" s="665">
        <v>257</v>
      </c>
      <c r="B184" s="269" t="s">
        <v>884</v>
      </c>
      <c r="C184" s="777"/>
      <c r="D184" s="775" t="s">
        <v>184</v>
      </c>
      <c r="E184" s="1119" t="s">
        <v>1409</v>
      </c>
      <c r="F184" s="1120"/>
      <c r="G184" s="748"/>
      <c r="H184" s="748"/>
      <c r="I184" s="748"/>
      <c r="J184" s="776">
        <f>VLOOKUP(D184,'Base Costs'!$A$3:$B$15,2,FALSE)</f>
        <v>0</v>
      </c>
      <c r="K184" s="736">
        <f>C184*J184</f>
        <v>0</v>
      </c>
      <c r="L184" s="737">
        <v>0.33</v>
      </c>
      <c r="M184" s="738">
        <f t="shared" si="53"/>
        <v>0</v>
      </c>
      <c r="N184" s="736">
        <f>M184*VLOOKUP($B$9,'Base Costs'!$A$32:$B$37,2,FALSE)</f>
        <v>0</v>
      </c>
      <c r="O184" s="739">
        <f t="shared" si="54"/>
        <v>0</v>
      </c>
      <c r="S184" s="693"/>
    </row>
    <row r="185" spans="1:25" ht="15" customHeight="1" x14ac:dyDescent="0.15">
      <c r="A185" s="665">
        <v>257</v>
      </c>
      <c r="B185" s="269" t="s">
        <v>884</v>
      </c>
      <c r="C185" s="777"/>
      <c r="D185" s="775" t="s">
        <v>184</v>
      </c>
      <c r="E185" s="1119" t="s">
        <v>1409</v>
      </c>
      <c r="F185" s="1120"/>
      <c r="G185" s="748"/>
      <c r="H185" s="748"/>
      <c r="I185" s="748"/>
      <c r="J185" s="776">
        <f>VLOOKUP(D185,'Base Costs'!$A$3:$B$15,2,FALSE)</f>
        <v>0</v>
      </c>
      <c r="K185" s="736">
        <f>C185*J185</f>
        <v>0</v>
      </c>
      <c r="L185" s="737">
        <v>0.33</v>
      </c>
      <c r="M185" s="738">
        <f t="shared" si="53"/>
        <v>0</v>
      </c>
      <c r="N185" s="736">
        <f>M185*VLOOKUP($B$9,'Base Costs'!$A$32:$B$37,2,FALSE)</f>
        <v>0</v>
      </c>
      <c r="O185" s="739">
        <f t="shared" si="54"/>
        <v>0</v>
      </c>
      <c r="S185" s="693"/>
    </row>
    <row r="186" spans="1:25" ht="15" customHeight="1" x14ac:dyDescent="0.15">
      <c r="A186" s="665">
        <v>222</v>
      </c>
      <c r="B186" s="270"/>
      <c r="C186" s="951"/>
      <c r="D186" s="775" t="s">
        <v>45</v>
      </c>
      <c r="E186" s="1104"/>
      <c r="F186" s="1105"/>
      <c r="G186" s="1106"/>
      <c r="H186" s="1106"/>
      <c r="I186" s="1106"/>
      <c r="J186" s="776">
        <f>VLOOKUP(D186,'Base Costs'!E4:G213,2,FALSE)</f>
        <v>0</v>
      </c>
      <c r="K186" s="736">
        <f t="shared" ref="K186" si="55">C186*J186</f>
        <v>0</v>
      </c>
      <c r="L186" s="737">
        <v>0.33</v>
      </c>
      <c r="M186" s="738">
        <f t="shared" ref="M186" si="56">K186/(1-L186)*(1+$C$9)</f>
        <v>0</v>
      </c>
      <c r="N186" s="736">
        <f>M186*VLOOKUP($B$9,'Base Costs'!$A$32:$B$37,2,FALSE)</f>
        <v>0</v>
      </c>
      <c r="O186" s="739">
        <f t="shared" ref="O186" si="57">M186-K186</f>
        <v>0</v>
      </c>
      <c r="S186" s="693"/>
    </row>
    <row r="187" spans="1:25" ht="15" customHeight="1" x14ac:dyDescent="0.15">
      <c r="A187" s="665">
        <v>400</v>
      </c>
      <c r="B187" s="730" t="s">
        <v>16</v>
      </c>
      <c r="C187" s="777"/>
      <c r="D187" s="749" t="s">
        <v>137</v>
      </c>
      <c r="E187" s="748"/>
      <c r="F187" s="748"/>
      <c r="G187" s="748"/>
      <c r="H187" s="748"/>
      <c r="I187" s="748"/>
      <c r="J187" s="776">
        <v>610</v>
      </c>
      <c r="K187" s="736">
        <f t="shared" ref="K187:K197" si="58">C187*J187</f>
        <v>0</v>
      </c>
      <c r="L187" s="737">
        <v>0.33</v>
      </c>
      <c r="M187" s="738">
        <f t="shared" si="53"/>
        <v>0</v>
      </c>
      <c r="N187" s="736">
        <f>M187*VLOOKUP($B$9,'Base Costs'!$A$32:$B$37,2,FALSE)</f>
        <v>0</v>
      </c>
      <c r="O187" s="739">
        <f t="shared" si="54"/>
        <v>0</v>
      </c>
      <c r="S187" s="693"/>
    </row>
    <row r="188" spans="1:25" ht="15" customHeight="1" x14ac:dyDescent="0.15">
      <c r="A188" s="665">
        <v>102</v>
      </c>
      <c r="B188" s="269" t="s">
        <v>1066</v>
      </c>
      <c r="C188" s="242">
        <f>ROUNDUP((IF(C14="WALL",(F14/1000),(F14/1000)*2)+IF(C31="WALL",(F31/1000),(F31/1000)*2)+IF(C48="WALL",(F48/1000),(F48/1000)*2)+IF(C65="WALL",(F65/1000),(F65/1000)*2)+IF(C82="WALL",(F82/1000),(F82/1000)*2)+IF(C99="WALL",(F99/1000),(F99/1000)*2)+IF(C116="WALL",(F116/1000),(F116/1000)*2)+IF(C133="WALL",(F133/1000),(F133/1000)*2)+IF(C150="WALL",(F150/1000),(F150/1000)*2)+IF(C167="WALL",(F167/1000),(F167/1000)*2)),0)</f>
        <v>0</v>
      </c>
      <c r="D188" s="749" t="s">
        <v>199</v>
      </c>
      <c r="E188" s="748"/>
      <c r="F188" s="748"/>
      <c r="G188" s="748"/>
      <c r="H188" s="748"/>
      <c r="I188" s="748"/>
      <c r="J188" s="776">
        <v>34</v>
      </c>
      <c r="K188" s="736">
        <f t="shared" si="58"/>
        <v>0</v>
      </c>
      <c r="L188" s="737">
        <v>0.33</v>
      </c>
      <c r="M188" s="738">
        <f t="shared" si="53"/>
        <v>0</v>
      </c>
      <c r="N188" s="736">
        <f>M188*VLOOKUP($B$9,'Base Costs'!$A$32:$B$37,2,FALSE)</f>
        <v>0</v>
      </c>
      <c r="O188" s="739">
        <f t="shared" si="54"/>
        <v>0</v>
      </c>
      <c r="S188" s="693"/>
    </row>
    <row r="189" spans="1:25" ht="15" customHeight="1" x14ac:dyDescent="0.15">
      <c r="A189" s="665">
        <v>400</v>
      </c>
      <c r="B189" s="730" t="s">
        <v>135</v>
      </c>
      <c r="C189" s="777"/>
      <c r="D189" s="1117" t="s">
        <v>1408</v>
      </c>
      <c r="E189" s="1118"/>
      <c r="F189" s="1118"/>
      <c r="G189" s="1118"/>
      <c r="H189" s="1118"/>
      <c r="I189" s="1118"/>
      <c r="J189" s="776">
        <v>610</v>
      </c>
      <c r="K189" s="736">
        <f t="shared" si="58"/>
        <v>0</v>
      </c>
      <c r="L189" s="737">
        <v>0.4</v>
      </c>
      <c r="M189" s="738">
        <f t="shared" si="53"/>
        <v>0</v>
      </c>
      <c r="N189" s="736">
        <f>M189*VLOOKUP($B$9,'Base Costs'!$A$32:$B$37,2,FALSE)</f>
        <v>0</v>
      </c>
      <c r="O189" s="739">
        <f t="shared" si="54"/>
        <v>0</v>
      </c>
      <c r="S189" s="693"/>
    </row>
    <row r="190" spans="1:25" ht="15" customHeight="1" x14ac:dyDescent="0.15">
      <c r="A190" s="665">
        <v>400</v>
      </c>
      <c r="B190" s="730" t="s">
        <v>136</v>
      </c>
      <c r="C190" s="777"/>
      <c r="D190" s="1117" t="s">
        <v>1362</v>
      </c>
      <c r="E190" s="1118"/>
      <c r="F190" s="1118"/>
      <c r="G190" s="1118"/>
      <c r="H190" s="1118"/>
      <c r="I190" s="1118"/>
      <c r="J190" s="776">
        <v>1220</v>
      </c>
      <c r="K190" s="736">
        <f t="shared" si="58"/>
        <v>0</v>
      </c>
      <c r="L190" s="737">
        <v>0.4</v>
      </c>
      <c r="M190" s="738">
        <f t="shared" si="53"/>
        <v>0</v>
      </c>
      <c r="N190" s="736">
        <f>M190*VLOOKUP($B$9,'Base Costs'!$A$32:$B$37,2,FALSE)</f>
        <v>0</v>
      </c>
      <c r="O190" s="739">
        <f t="shared" si="54"/>
        <v>0</v>
      </c>
      <c r="S190" s="693"/>
    </row>
    <row r="191" spans="1:25" ht="15" customHeight="1" x14ac:dyDescent="0.15">
      <c r="A191" s="665">
        <v>253</v>
      </c>
      <c r="B191" s="791" t="s">
        <v>1062</v>
      </c>
      <c r="C191" s="777"/>
      <c r="D191" s="30" t="s">
        <v>1061</v>
      </c>
      <c r="E191" s="748"/>
      <c r="F191" s="748"/>
      <c r="G191" s="748"/>
      <c r="H191" s="748"/>
      <c r="I191" s="748"/>
      <c r="J191" s="776">
        <v>610</v>
      </c>
      <c r="K191" s="736">
        <f t="shared" si="58"/>
        <v>0</v>
      </c>
      <c r="L191" s="737">
        <v>0.33</v>
      </c>
      <c r="M191" s="738">
        <f t="shared" si="53"/>
        <v>0</v>
      </c>
      <c r="N191" s="736">
        <f>M191*VLOOKUP($B$9,'Base Costs'!$A$32:$B$37,2,FALSE)</f>
        <v>0</v>
      </c>
      <c r="O191" s="739">
        <f t="shared" si="54"/>
        <v>0</v>
      </c>
      <c r="S191" s="693"/>
    </row>
    <row r="192" spans="1:25" ht="15" customHeight="1" x14ac:dyDescent="0.15">
      <c r="A192" s="665">
        <v>253</v>
      </c>
      <c r="B192" s="269" t="s">
        <v>1060</v>
      </c>
      <c r="C192" s="777"/>
      <c r="D192" s="749" t="s">
        <v>139</v>
      </c>
      <c r="E192" s="748"/>
      <c r="F192" s="748"/>
      <c r="G192" s="748"/>
      <c r="H192" s="748"/>
      <c r="I192" s="748"/>
      <c r="J192" s="776">
        <v>220</v>
      </c>
      <c r="K192" s="736">
        <f t="shared" si="58"/>
        <v>0</v>
      </c>
      <c r="L192" s="737">
        <v>0.33</v>
      </c>
      <c r="M192" s="738">
        <f t="shared" si="53"/>
        <v>0</v>
      </c>
      <c r="N192" s="736">
        <f>M192*VLOOKUP($B$9,'Base Costs'!$A$32:$B$37,2,FALSE)</f>
        <v>0</v>
      </c>
      <c r="O192" s="739">
        <f t="shared" si="54"/>
        <v>0</v>
      </c>
      <c r="S192" s="693"/>
    </row>
    <row r="193" spans="1:19" ht="15" customHeight="1" x14ac:dyDescent="0.15">
      <c r="A193" s="665">
        <v>280</v>
      </c>
      <c r="B193" s="730" t="s">
        <v>32</v>
      </c>
      <c r="C193" s="774"/>
      <c r="D193" s="1113" t="s">
        <v>1458</v>
      </c>
      <c r="E193" s="1114"/>
      <c r="F193" s="1114"/>
      <c r="G193" s="748"/>
      <c r="H193" s="748"/>
      <c r="I193" s="748"/>
      <c r="J193" s="776">
        <v>604</v>
      </c>
      <c r="K193" s="736">
        <f>C193*J193</f>
        <v>0</v>
      </c>
      <c r="L193" s="737">
        <v>0.33</v>
      </c>
      <c r="M193" s="738">
        <f t="shared" si="53"/>
        <v>0</v>
      </c>
      <c r="N193" s="736">
        <f>M193*VLOOKUP($B$9,'Base Costs'!$A$32:$B$37,2,FALSE)</f>
        <v>0</v>
      </c>
      <c r="O193" s="739">
        <f>M193-K193</f>
        <v>0</v>
      </c>
      <c r="S193" s="693"/>
    </row>
    <row r="194" spans="1:19" ht="15" customHeight="1" x14ac:dyDescent="0.15">
      <c r="B194" s="791" t="s">
        <v>852</v>
      </c>
      <c r="C194" s="777"/>
      <c r="D194" s="1128" t="s">
        <v>821</v>
      </c>
      <c r="E194" s="1129"/>
      <c r="F194" s="1129"/>
      <c r="G194" s="748"/>
      <c r="H194" s="748"/>
      <c r="I194" s="748"/>
      <c r="J194" s="776">
        <v>1029</v>
      </c>
      <c r="K194" s="736">
        <f t="shared" si="58"/>
        <v>0</v>
      </c>
      <c r="L194" s="737">
        <v>0.33</v>
      </c>
      <c r="M194" s="738">
        <f t="shared" si="53"/>
        <v>0</v>
      </c>
      <c r="N194" s="736">
        <f>M194*VLOOKUP($B$9,'Base Costs'!$A$32:$B$37,2,FALSE)</f>
        <v>0</v>
      </c>
      <c r="O194" s="739">
        <f>M194-K194</f>
        <v>0</v>
      </c>
      <c r="S194" s="693"/>
    </row>
    <row r="195" spans="1:19" ht="15" customHeight="1" x14ac:dyDescent="0.15">
      <c r="B195" s="941" t="s">
        <v>872</v>
      </c>
      <c r="C195" s="777"/>
      <c r="D195" s="1126" t="s">
        <v>1347</v>
      </c>
      <c r="E195" s="1127"/>
      <c r="F195" s="790"/>
      <c r="G195" s="748"/>
      <c r="H195" s="748"/>
      <c r="I195" s="748"/>
      <c r="J195" s="776">
        <v>210.72</v>
      </c>
      <c r="K195" s="736">
        <f t="shared" si="58"/>
        <v>0</v>
      </c>
      <c r="L195" s="737">
        <v>0.33</v>
      </c>
      <c r="M195" s="738">
        <f t="shared" si="53"/>
        <v>0</v>
      </c>
      <c r="N195" s="736">
        <f>M195*VLOOKUP($B$9,'Base Costs'!$A$32:$B$37,2,FALSE)</f>
        <v>0</v>
      </c>
      <c r="O195" s="739">
        <f>M195-K195</f>
        <v>0</v>
      </c>
      <c r="S195" s="693"/>
    </row>
    <row r="196" spans="1:19" ht="15" customHeight="1" x14ac:dyDescent="0.15">
      <c r="B196" s="791" t="s">
        <v>818</v>
      </c>
      <c r="C196" s="777"/>
      <c r="D196" s="1130" t="s">
        <v>1348</v>
      </c>
      <c r="E196" s="1131"/>
      <c r="F196" s="790"/>
      <c r="G196" s="748"/>
      <c r="H196" s="748"/>
      <c r="I196" s="748"/>
      <c r="J196" s="776">
        <v>234.9</v>
      </c>
      <c r="K196" s="736">
        <f t="shared" si="58"/>
        <v>0</v>
      </c>
      <c r="L196" s="737">
        <v>0.33</v>
      </c>
      <c r="M196" s="738">
        <f t="shared" si="53"/>
        <v>0</v>
      </c>
      <c r="N196" s="736">
        <f>M196*VLOOKUP($B$9,'Base Costs'!$A$32:$B$37,2,FALSE)</f>
        <v>0</v>
      </c>
      <c r="O196" s="739">
        <f>M196-K196</f>
        <v>0</v>
      </c>
      <c r="S196" s="693"/>
    </row>
    <row r="197" spans="1:19" ht="15" customHeight="1" x14ac:dyDescent="0.15">
      <c r="A197" s="665">
        <v>284</v>
      </c>
      <c r="B197" s="730" t="s">
        <v>200</v>
      </c>
      <c r="C197" s="777"/>
      <c r="D197" s="1104" t="s">
        <v>720</v>
      </c>
      <c r="E197" s="1105"/>
      <c r="F197" s="1105"/>
      <c r="G197" s="748"/>
      <c r="H197" s="748"/>
      <c r="I197" s="748"/>
      <c r="J197" s="776">
        <v>215</v>
      </c>
      <c r="K197" s="736">
        <f t="shared" si="58"/>
        <v>0</v>
      </c>
      <c r="L197" s="737">
        <v>0.33</v>
      </c>
      <c r="M197" s="738">
        <f t="shared" si="53"/>
        <v>0</v>
      </c>
      <c r="N197" s="736">
        <f>M197*VLOOKUP($B$9,'Base Costs'!$A$32:$B$37,2,FALSE)</f>
        <v>0</v>
      </c>
      <c r="O197" s="739">
        <f t="shared" si="54"/>
        <v>0</v>
      </c>
      <c r="S197" s="693"/>
    </row>
    <row r="198" spans="1:19" ht="15" customHeight="1" x14ac:dyDescent="0.15">
      <c r="B198" s="770"/>
      <c r="C198" s="770"/>
      <c r="D198" s="770"/>
      <c r="E198" s="770"/>
      <c r="F198" s="770"/>
      <c r="G198" s="778"/>
      <c r="H198" s="779"/>
      <c r="I198" s="779"/>
      <c r="J198" s="780"/>
      <c r="K198" s="771"/>
      <c r="L198" s="781"/>
      <c r="M198" s="771"/>
      <c r="N198" s="771"/>
      <c r="S198" s="693"/>
    </row>
    <row r="199" spans="1:19" ht="15" customHeight="1" x14ac:dyDescent="0.2">
      <c r="B199" s="782" t="s">
        <v>121</v>
      </c>
      <c r="C199" s="783"/>
      <c r="D199" s="784"/>
      <c r="E199" s="784"/>
      <c r="F199" s="783"/>
      <c r="G199" s="785"/>
      <c r="H199" s="783"/>
      <c r="I199" s="783"/>
      <c r="J199" s="783"/>
      <c r="K199" s="783"/>
      <c r="L199" s="783"/>
      <c r="M199" s="783"/>
      <c r="N199" s="783"/>
      <c r="O199" s="783"/>
      <c r="S199" s="693"/>
    </row>
    <row r="200" spans="1:19" ht="15" customHeight="1" x14ac:dyDescent="0.2">
      <c r="B200" s="1124" t="s">
        <v>945</v>
      </c>
      <c r="C200" s="1124"/>
      <c r="D200" s="1124"/>
      <c r="E200" s="1124"/>
      <c r="F200" s="1124"/>
      <c r="G200" s="1124"/>
      <c r="H200" s="1124"/>
      <c r="I200" s="1124"/>
      <c r="J200" s="1124"/>
      <c r="K200" s="1124"/>
      <c r="L200" s="1124"/>
      <c r="M200" s="1124"/>
      <c r="N200" s="1124"/>
      <c r="O200" s="1124"/>
      <c r="S200" s="693"/>
    </row>
    <row r="201" spans="1:19" ht="15" customHeight="1" x14ac:dyDescent="0.2">
      <c r="B201" s="1132" t="s">
        <v>946</v>
      </c>
      <c r="C201" s="1132"/>
      <c r="D201" s="1132"/>
      <c r="E201" s="1132"/>
      <c r="F201" s="1132"/>
      <c r="G201" s="1132"/>
      <c r="H201" s="1132"/>
      <c r="I201" s="1132"/>
      <c r="J201" s="1132"/>
      <c r="K201" s="1132"/>
      <c r="L201" s="1132"/>
      <c r="M201" s="1132"/>
      <c r="N201" s="1132"/>
      <c r="O201" s="1132"/>
      <c r="S201" s="693"/>
    </row>
    <row r="202" spans="1:19" ht="15" customHeight="1" x14ac:dyDescent="0.2">
      <c r="B202" s="1121"/>
      <c r="C202" s="1121"/>
      <c r="D202" s="1121"/>
      <c r="E202" s="1121"/>
      <c r="F202" s="1121"/>
      <c r="G202" s="1121"/>
      <c r="H202" s="1121"/>
      <c r="I202" s="1121"/>
      <c r="J202" s="1121"/>
      <c r="K202" s="1121"/>
      <c r="L202" s="1121"/>
      <c r="M202" s="1121"/>
      <c r="N202" s="1121"/>
      <c r="O202" s="1121"/>
      <c r="S202" s="693"/>
    </row>
    <row r="203" spans="1:19" ht="15" customHeight="1" x14ac:dyDescent="0.2">
      <c r="B203" s="1121"/>
      <c r="C203" s="1121"/>
      <c r="D203" s="1121"/>
      <c r="E203" s="1121"/>
      <c r="F203" s="1121"/>
      <c r="G203" s="1121"/>
      <c r="H203" s="1121"/>
      <c r="I203" s="1121"/>
      <c r="J203" s="1121"/>
      <c r="K203" s="1121"/>
      <c r="L203" s="1121"/>
      <c r="M203" s="1121"/>
      <c r="N203" s="1121"/>
      <c r="O203" s="1121"/>
      <c r="S203" s="693"/>
    </row>
    <row r="204" spans="1:19" ht="15" customHeight="1" x14ac:dyDescent="0.2">
      <c r="B204" s="1121"/>
      <c r="C204" s="1121"/>
      <c r="D204" s="1121"/>
      <c r="E204" s="1121"/>
      <c r="F204" s="1121"/>
      <c r="G204" s="1121"/>
      <c r="H204" s="1121"/>
      <c r="I204" s="1121"/>
      <c r="J204" s="1121"/>
      <c r="K204" s="1121"/>
      <c r="L204" s="1121"/>
      <c r="M204" s="1121"/>
      <c r="N204" s="1121"/>
      <c r="O204" s="1121"/>
      <c r="S204" s="693"/>
    </row>
    <row r="205" spans="1:19" ht="15" customHeight="1" x14ac:dyDescent="0.2">
      <c r="B205" s="1121"/>
      <c r="C205" s="1121"/>
      <c r="D205" s="1121"/>
      <c r="E205" s="1121"/>
      <c r="F205" s="1121"/>
      <c r="G205" s="1121"/>
      <c r="H205" s="1121"/>
      <c r="I205" s="1121"/>
      <c r="J205" s="1121"/>
      <c r="K205" s="1121"/>
      <c r="L205" s="1121"/>
      <c r="M205" s="1121"/>
      <c r="N205" s="1121"/>
      <c r="O205" s="1121"/>
      <c r="S205" s="693"/>
    </row>
    <row r="206" spans="1:19" ht="15" customHeight="1" x14ac:dyDescent="0.15">
      <c r="J206" s="690"/>
      <c r="M206" s="690"/>
      <c r="O206" s="690"/>
      <c r="S206" s="693"/>
    </row>
    <row r="207" spans="1:19" x14ac:dyDescent="0.15">
      <c r="J207" s="690"/>
      <c r="M207" s="690"/>
      <c r="O207" s="690"/>
      <c r="S207" s="693"/>
    </row>
    <row r="208" spans="1:19" x14ac:dyDescent="0.15">
      <c r="G208" s="675"/>
      <c r="S208" s="693"/>
    </row>
    <row r="209" spans="2:19" x14ac:dyDescent="0.15">
      <c r="G209" s="675"/>
      <c r="S209" s="693"/>
    </row>
    <row r="210" spans="2:19" ht="15" customHeight="1" x14ac:dyDescent="0.15">
      <c r="G210" s="675"/>
      <c r="S210" s="693"/>
    </row>
    <row r="211" spans="2:19" ht="15" customHeight="1" x14ac:dyDescent="0.15">
      <c r="G211" s="675"/>
      <c r="S211" s="693"/>
    </row>
    <row r="212" spans="2:19" ht="15" customHeight="1" x14ac:dyDescent="0.15">
      <c r="G212" s="675"/>
      <c r="S212" s="693"/>
    </row>
    <row r="213" spans="2:19" ht="15" customHeight="1" x14ac:dyDescent="0.15">
      <c r="G213" s="675"/>
      <c r="S213" s="693"/>
    </row>
    <row r="214" spans="2:19" ht="15" customHeight="1" x14ac:dyDescent="0.15">
      <c r="G214" s="675"/>
      <c r="S214" s="693"/>
    </row>
    <row r="215" spans="2:19" ht="15" customHeight="1" x14ac:dyDescent="0.15">
      <c r="G215" s="675"/>
      <c r="S215" s="693"/>
    </row>
    <row r="216" spans="2:19" ht="15" customHeight="1" x14ac:dyDescent="0.15">
      <c r="G216" s="675"/>
      <c r="S216" s="693"/>
    </row>
    <row r="217" spans="2:19" ht="15" customHeight="1" x14ac:dyDescent="0.15">
      <c r="B217" s="786"/>
      <c r="C217" s="786"/>
      <c r="D217" s="786"/>
      <c r="E217" s="786"/>
      <c r="F217" s="786"/>
      <c r="G217" s="786"/>
      <c r="S217" s="693"/>
    </row>
    <row r="218" spans="2:19" ht="15" customHeight="1" x14ac:dyDescent="0.15">
      <c r="S218" s="693"/>
    </row>
    <row r="219" spans="2:19" ht="15" customHeight="1" x14ac:dyDescent="0.15">
      <c r="S219" s="693"/>
    </row>
    <row r="220" spans="2:19" ht="15" customHeight="1" x14ac:dyDescent="0.15">
      <c r="S220" s="693"/>
    </row>
    <row r="221" spans="2:19" ht="15" customHeight="1" x14ac:dyDescent="0.15">
      <c r="S221" s="693"/>
    </row>
    <row r="222" spans="2:19" ht="15" customHeight="1" x14ac:dyDescent="0.15">
      <c r="S222" s="693"/>
    </row>
    <row r="223" spans="2:19" ht="15" customHeight="1" x14ac:dyDescent="0.15">
      <c r="S223" s="693"/>
    </row>
    <row r="224" spans="2:19" ht="15" customHeight="1" x14ac:dyDescent="0.15">
      <c r="S224" s="693"/>
    </row>
    <row r="225" spans="19:19" ht="15" customHeight="1" x14ac:dyDescent="0.15">
      <c r="S225" s="693"/>
    </row>
    <row r="226" spans="19:19" ht="15" customHeight="1" x14ac:dyDescent="0.15">
      <c r="S226" s="693"/>
    </row>
    <row r="227" spans="19:19" ht="15" customHeight="1" x14ac:dyDescent="0.15">
      <c r="S227" s="693"/>
    </row>
    <row r="228" spans="19:19" ht="15" customHeight="1" x14ac:dyDescent="0.15">
      <c r="S228" s="693"/>
    </row>
    <row r="229" spans="19:19" ht="15" customHeight="1" x14ac:dyDescent="0.15">
      <c r="S229" s="693"/>
    </row>
    <row r="230" spans="19:19" ht="15" customHeight="1" x14ac:dyDescent="0.15">
      <c r="S230" s="693"/>
    </row>
    <row r="231" spans="19:19" ht="15" customHeight="1" x14ac:dyDescent="0.15">
      <c r="S231" s="693"/>
    </row>
    <row r="232" spans="19:19" ht="15" customHeight="1" x14ac:dyDescent="0.15">
      <c r="S232" s="693"/>
    </row>
    <row r="233" spans="19:19" ht="15" customHeight="1" x14ac:dyDescent="0.15">
      <c r="S233" s="693"/>
    </row>
    <row r="234" spans="19:19" ht="15" customHeight="1" x14ac:dyDescent="0.15">
      <c r="S234" s="693"/>
    </row>
    <row r="235" spans="19:19" ht="15" customHeight="1" x14ac:dyDescent="0.15">
      <c r="S235" s="693"/>
    </row>
    <row r="236" spans="19:19" ht="15" customHeight="1" x14ac:dyDescent="0.15">
      <c r="S236" s="693"/>
    </row>
    <row r="237" spans="19:19" ht="15" customHeight="1" x14ac:dyDescent="0.15">
      <c r="S237" s="693"/>
    </row>
    <row r="238" spans="19:19" ht="15" customHeight="1" x14ac:dyDescent="0.15">
      <c r="S238" s="693"/>
    </row>
    <row r="239" spans="19:19" ht="15" customHeight="1" x14ac:dyDescent="0.15">
      <c r="S239" s="693"/>
    </row>
    <row r="240" spans="19:19" ht="15" customHeight="1" x14ac:dyDescent="0.15">
      <c r="S240" s="693"/>
    </row>
    <row r="241" spans="19:19" ht="15" customHeight="1" x14ac:dyDescent="0.15">
      <c r="S241" s="693"/>
    </row>
    <row r="242" spans="19:19" ht="15" customHeight="1" x14ac:dyDescent="0.15">
      <c r="S242" s="693"/>
    </row>
    <row r="243" spans="19:19" ht="15" customHeight="1" x14ac:dyDescent="0.15">
      <c r="S243" s="693"/>
    </row>
    <row r="244" spans="19:19" ht="15" customHeight="1" x14ac:dyDescent="0.15">
      <c r="S244" s="693"/>
    </row>
    <row r="245" spans="19:19" ht="15" customHeight="1" x14ac:dyDescent="0.15">
      <c r="S245" s="693"/>
    </row>
    <row r="246" spans="19:19" ht="15" customHeight="1" x14ac:dyDescent="0.15">
      <c r="S246" s="693"/>
    </row>
    <row r="247" spans="19:19" ht="15" customHeight="1" x14ac:dyDescent="0.15">
      <c r="S247" s="693"/>
    </row>
    <row r="248" spans="19:19" ht="15" customHeight="1" x14ac:dyDescent="0.15">
      <c r="S248" s="693"/>
    </row>
    <row r="249" spans="19:19" ht="15" customHeight="1" x14ac:dyDescent="0.15">
      <c r="S249" s="693"/>
    </row>
    <row r="250" spans="19:19" ht="15" customHeight="1" x14ac:dyDescent="0.15">
      <c r="S250" s="693"/>
    </row>
    <row r="251" spans="19:19" ht="15" customHeight="1" x14ac:dyDescent="0.15">
      <c r="S251" s="693"/>
    </row>
    <row r="252" spans="19:19" ht="15" customHeight="1" x14ac:dyDescent="0.15">
      <c r="S252" s="693"/>
    </row>
    <row r="253" spans="19:19" ht="15" customHeight="1" x14ac:dyDescent="0.15">
      <c r="S253" s="693"/>
    </row>
    <row r="254" spans="19:19" ht="15" customHeight="1" x14ac:dyDescent="0.15">
      <c r="S254" s="693"/>
    </row>
    <row r="255" spans="19:19" ht="15" customHeight="1" x14ac:dyDescent="0.15">
      <c r="S255" s="693"/>
    </row>
    <row r="256" spans="19:19" ht="15" customHeight="1" x14ac:dyDescent="0.15">
      <c r="S256" s="693"/>
    </row>
    <row r="257" spans="19:19" ht="15" customHeight="1" x14ac:dyDescent="0.15">
      <c r="S257" s="693"/>
    </row>
    <row r="258" spans="19:19" ht="15" customHeight="1" x14ac:dyDescent="0.15">
      <c r="S258" s="693"/>
    </row>
    <row r="259" spans="19:19" ht="15" customHeight="1" x14ac:dyDescent="0.15">
      <c r="S259" s="693"/>
    </row>
    <row r="260" spans="19:19" ht="15" customHeight="1" x14ac:dyDescent="0.15">
      <c r="S260" s="693"/>
    </row>
    <row r="261" spans="19:19" ht="15" customHeight="1" x14ac:dyDescent="0.15">
      <c r="S261" s="693"/>
    </row>
    <row r="262" spans="19:19" ht="15" customHeight="1" x14ac:dyDescent="0.15">
      <c r="S262" s="693"/>
    </row>
    <row r="263" spans="19:19" ht="15" customHeight="1" x14ac:dyDescent="0.15">
      <c r="S263" s="693"/>
    </row>
    <row r="264" spans="19:19" ht="15" customHeight="1" x14ac:dyDescent="0.15">
      <c r="S264" s="693"/>
    </row>
    <row r="265" spans="19:19" ht="15" customHeight="1" x14ac:dyDescent="0.15">
      <c r="S265" s="693"/>
    </row>
    <row r="266" spans="19:19" ht="15" customHeight="1" x14ac:dyDescent="0.15">
      <c r="S266" s="693"/>
    </row>
    <row r="267" spans="19:19" ht="15" customHeight="1" x14ac:dyDescent="0.15">
      <c r="S267" s="693"/>
    </row>
    <row r="268" spans="19:19" ht="15" customHeight="1" x14ac:dyDescent="0.15">
      <c r="S268" s="693"/>
    </row>
    <row r="269" spans="19:19" ht="15" customHeight="1" x14ac:dyDescent="0.15">
      <c r="S269" s="693"/>
    </row>
    <row r="270" spans="19:19" ht="15" customHeight="1" x14ac:dyDescent="0.15">
      <c r="S270" s="693"/>
    </row>
    <row r="271" spans="19:19" ht="15" customHeight="1" x14ac:dyDescent="0.15">
      <c r="S271" s="693"/>
    </row>
    <row r="273" spans="19:19" ht="15" customHeight="1" x14ac:dyDescent="0.15">
      <c r="S273" s="693"/>
    </row>
    <row r="274" spans="19:19" ht="15" customHeight="1" x14ac:dyDescent="0.15">
      <c r="S274" s="693"/>
    </row>
    <row r="275" spans="19:19" ht="15" customHeight="1" x14ac:dyDescent="0.15">
      <c r="S275" s="693"/>
    </row>
    <row r="276" spans="19:19" ht="15" customHeight="1" x14ac:dyDescent="0.15">
      <c r="S276" s="693"/>
    </row>
    <row r="277" spans="19:19" ht="15" customHeight="1" x14ac:dyDescent="0.15">
      <c r="S277" s="693"/>
    </row>
    <row r="278" spans="19:19" ht="15" customHeight="1" x14ac:dyDescent="0.15">
      <c r="S278" s="693"/>
    </row>
    <row r="279" spans="19:19" ht="15" customHeight="1" x14ac:dyDescent="0.15">
      <c r="S279" s="693"/>
    </row>
    <row r="280" spans="19:19" ht="15" customHeight="1" x14ac:dyDescent="0.15">
      <c r="S280" s="693"/>
    </row>
    <row r="281" spans="19:19" ht="15" customHeight="1" x14ac:dyDescent="0.15">
      <c r="S281" s="693"/>
    </row>
    <row r="282" spans="19:19" ht="15" customHeight="1" x14ac:dyDescent="0.15">
      <c r="S282" s="693"/>
    </row>
    <row r="283" spans="19:19" ht="15" customHeight="1" x14ac:dyDescent="0.15">
      <c r="S283" s="693"/>
    </row>
    <row r="284" spans="19:19" ht="15" customHeight="1" x14ac:dyDescent="0.15">
      <c r="S284" s="693"/>
    </row>
    <row r="285" spans="19:19" ht="15" customHeight="1" x14ac:dyDescent="0.15">
      <c r="S285" s="693"/>
    </row>
    <row r="286" spans="19:19" ht="15" customHeight="1" x14ac:dyDescent="0.15">
      <c r="S286" s="693"/>
    </row>
    <row r="287" spans="19:19" ht="15" customHeight="1" x14ac:dyDescent="0.15">
      <c r="S287" s="693"/>
    </row>
    <row r="288" spans="19:19" ht="15" customHeight="1" x14ac:dyDescent="0.15">
      <c r="S288" s="693"/>
    </row>
    <row r="289" spans="19:19" ht="15" customHeight="1" x14ac:dyDescent="0.15">
      <c r="S289" s="693"/>
    </row>
    <row r="290" spans="19:19" ht="15" customHeight="1" x14ac:dyDescent="0.15">
      <c r="S290" s="693"/>
    </row>
    <row r="291" spans="19:19" ht="15" customHeight="1" x14ac:dyDescent="0.15">
      <c r="S291" s="693"/>
    </row>
    <row r="292" spans="19:19" ht="15" customHeight="1" x14ac:dyDescent="0.15">
      <c r="S292" s="693"/>
    </row>
    <row r="293" spans="19:19" ht="15" customHeight="1" x14ac:dyDescent="0.15">
      <c r="S293" s="693"/>
    </row>
    <row r="294" spans="19:19" ht="15" customHeight="1" x14ac:dyDescent="0.15">
      <c r="S294" s="693"/>
    </row>
    <row r="295" spans="19:19" ht="15" customHeight="1" x14ac:dyDescent="0.15">
      <c r="S295" s="693"/>
    </row>
    <row r="296" spans="19:19" ht="15" customHeight="1" x14ac:dyDescent="0.15">
      <c r="S296" s="693"/>
    </row>
    <row r="297" spans="19:19" ht="15" customHeight="1" x14ac:dyDescent="0.15">
      <c r="S297" s="693"/>
    </row>
    <row r="298" spans="19:19" ht="15" customHeight="1" x14ac:dyDescent="0.15">
      <c r="S298" s="693"/>
    </row>
    <row r="299" spans="19:19" ht="15" customHeight="1" x14ac:dyDescent="0.15">
      <c r="S299" s="693"/>
    </row>
    <row r="300" spans="19:19" ht="15" customHeight="1" x14ac:dyDescent="0.15">
      <c r="S300" s="693"/>
    </row>
    <row r="301" spans="19:19" ht="15" customHeight="1" x14ac:dyDescent="0.15">
      <c r="S301" s="693"/>
    </row>
    <row r="302" spans="19:19" ht="15" customHeight="1" x14ac:dyDescent="0.15">
      <c r="S302" s="693"/>
    </row>
    <row r="303" spans="19:19" ht="15" customHeight="1" x14ac:dyDescent="0.15">
      <c r="S303" s="693"/>
    </row>
    <row r="304" spans="19:19" ht="15" customHeight="1" x14ac:dyDescent="0.15">
      <c r="S304" s="693"/>
    </row>
    <row r="305" spans="19:19" ht="15" customHeight="1" x14ac:dyDescent="0.15">
      <c r="S305" s="693"/>
    </row>
    <row r="306" spans="19:19" ht="15" customHeight="1" x14ac:dyDescent="0.15">
      <c r="S306" s="693"/>
    </row>
    <row r="307" spans="19:19" ht="15" customHeight="1" x14ac:dyDescent="0.15">
      <c r="S307" s="693"/>
    </row>
    <row r="308" spans="19:19" ht="15" customHeight="1" x14ac:dyDescent="0.15">
      <c r="S308" s="693"/>
    </row>
    <row r="309" spans="19:19" ht="15" customHeight="1" x14ac:dyDescent="0.15">
      <c r="S309" s="693"/>
    </row>
    <row r="310" spans="19:19" ht="15" customHeight="1" x14ac:dyDescent="0.15">
      <c r="S310" s="693"/>
    </row>
  </sheetData>
  <protectedRanges>
    <protectedRange sqref="C2:D7 B2:B6 C8:G8 N7:O7 F2:G7" name="Estimating_1" securityDescriptor="O:WDG:WDD:(A;;CC;;;S-1-5-21-1993962763-879983540-839522115-1221)"/>
    <protectedRange sqref="D9" name="Estimating_1_1" securityDescriptor="O:WDG:WDD:(A;;CC;;;S-1-5-21-1993962763-879983540-839522115-1221)"/>
    <protectedRange sqref="F200:F205 B200:B204 K205:O205" name="Full" securityDescriptor="O:WDG:WDD:(A;;CC;;;S-1-5-21-1993962763-879983540-839522115-1156)"/>
    <protectedRange sqref="B205:C205" name="Full_2" securityDescriptor="O:WDG:WDD:(A;;CC;;;S-1-5-21-1993962763-879983540-839522115-1156)"/>
    <protectedRange sqref="D197" name="Estimating_4_1" securityDescriptor="O:WDG:WDD:(A;;CC;;;S-1-5-21-1993962763-879983540-839522115-1221)"/>
    <protectedRange sqref="D193:D194" name="Estimating_7_1"/>
    <protectedRange sqref="D49" name="Estimating_7" securityDescriptor="O:WDG:WDD:(A;;CC;;;S-1-5-21-1993962763-879983540-839522115-1221)"/>
    <protectedRange sqref="E15" name="Estimating_4" securityDescriptor="O:WDG:WDD:(A;;CC;;;S-1-5-21-1993962763-879983540-839522115-1221)"/>
    <protectedRange sqref="C188" name="Estimating_4_2_1_2_1_1_1_1" securityDescriptor="O:WDG:WDD:(A;;CC;;;S-1-5-21-1993962763-879983540-839522115-1221)"/>
    <protectedRange sqref="D195" name="Estimating_7_1_1"/>
    <protectedRange sqref="D196" name="Estimating_7_1_2"/>
    <protectedRange sqref="D23 D40 D57 D74 D91 D108 D125 D142 D159 D176" name="Estimating_6" securityDescriptor="O:WDG:WDD:(A;;CC;;;S-1-5-21-1993962763-879983540-839522115-1221)"/>
  </protectedRanges>
  <dataConsolidate/>
  <mergeCells count="72">
    <mergeCell ref="D196:E196"/>
    <mergeCell ref="B201:O201"/>
    <mergeCell ref="B202:O202"/>
    <mergeCell ref="B203:O203"/>
    <mergeCell ref="B204:O204"/>
    <mergeCell ref="B205:O205"/>
    <mergeCell ref="G9:J9"/>
    <mergeCell ref="B200:O200"/>
    <mergeCell ref="B182:G182"/>
    <mergeCell ref="E87:F87"/>
    <mergeCell ref="E104:F104"/>
    <mergeCell ref="H56:I56"/>
    <mergeCell ref="H72:I72"/>
    <mergeCell ref="H73:I73"/>
    <mergeCell ref="E70:F70"/>
    <mergeCell ref="D197:F197"/>
    <mergeCell ref="E183:F183"/>
    <mergeCell ref="H89:I89"/>
    <mergeCell ref="H90:I90"/>
    <mergeCell ref="D195:E195"/>
    <mergeCell ref="D194:F194"/>
    <mergeCell ref="D193:F193"/>
    <mergeCell ref="E35:F35"/>
    <mergeCell ref="D189:I189"/>
    <mergeCell ref="E53:F53"/>
    <mergeCell ref="E36:F36"/>
    <mergeCell ref="H38:I38"/>
    <mergeCell ref="H39:I39"/>
    <mergeCell ref="H55:I55"/>
    <mergeCell ref="D190:I190"/>
    <mergeCell ref="E184:F184"/>
    <mergeCell ref="E185:F185"/>
    <mergeCell ref="H106:I106"/>
    <mergeCell ref="H107:I107"/>
    <mergeCell ref="G183:I183"/>
    <mergeCell ref="H40:I40"/>
    <mergeCell ref="H57:I57"/>
    <mergeCell ref="B1:C1"/>
    <mergeCell ref="E19:F19"/>
    <mergeCell ref="H21:I21"/>
    <mergeCell ref="H22:I22"/>
    <mergeCell ref="E9:F9"/>
    <mergeCell ref="C3:D3"/>
    <mergeCell ref="G3:J3"/>
    <mergeCell ref="C5:D5"/>
    <mergeCell ref="G5:J5"/>
    <mergeCell ref="C7:D7"/>
    <mergeCell ref="G7:J7"/>
    <mergeCell ref="E186:F186"/>
    <mergeCell ref="G186:I186"/>
    <mergeCell ref="H108:I108"/>
    <mergeCell ref="E121:F121"/>
    <mergeCell ref="H23:I23"/>
    <mergeCell ref="H74:I74"/>
    <mergeCell ref="H91:I91"/>
    <mergeCell ref="E155:F155"/>
    <mergeCell ref="H157:I157"/>
    <mergeCell ref="H158:I158"/>
    <mergeCell ref="H159:I159"/>
    <mergeCell ref="E172:F172"/>
    <mergeCell ref="H174:I174"/>
    <mergeCell ref="H175:I175"/>
    <mergeCell ref="H176:I176"/>
    <mergeCell ref="E138:F138"/>
    <mergeCell ref="P5:T5"/>
    <mergeCell ref="H140:I140"/>
    <mergeCell ref="H141:I141"/>
    <mergeCell ref="H142:I142"/>
    <mergeCell ref="P7:R7"/>
    <mergeCell ref="H123:I123"/>
    <mergeCell ref="H124:I124"/>
    <mergeCell ref="H125:I125"/>
  </mergeCells>
  <phoneticPr fontId="111" type="noConversion"/>
  <conditionalFormatting sqref="B9">
    <cfRule type="expression" dxfId="1843" priority="5533">
      <formula>B9="CURRENCY"</formula>
    </cfRule>
    <cfRule type="containsText" dxfId="1842" priority="5532" operator="containsText" text="SELECT">
      <formula>NOT(ISERROR(SEARCH("SELECT",B9)))</formula>
    </cfRule>
  </conditionalFormatting>
  <conditionalFormatting sqref="B11">
    <cfRule type="expression" dxfId="1841" priority="2411">
      <formula>$B11&lt;&gt;""</formula>
    </cfRule>
  </conditionalFormatting>
  <conditionalFormatting sqref="B14:B23">
    <cfRule type="expression" dxfId="1840" priority="1709">
      <formula>$J14&gt;0</formula>
    </cfRule>
  </conditionalFormatting>
  <conditionalFormatting sqref="B24">
    <cfRule type="expression" dxfId="1839" priority="1253">
      <formula>($D14="CANOPY TYPE")</formula>
    </cfRule>
    <cfRule type="expression" dxfId="1838" priority="1252">
      <formula>ISNUMBER(SEARCH("UV",$D14))</formula>
    </cfRule>
  </conditionalFormatting>
  <conditionalFormatting sqref="B25:B27">
    <cfRule type="expression" dxfId="1837" priority="548">
      <formula>$J25&gt;0</formula>
    </cfRule>
  </conditionalFormatting>
  <conditionalFormatting sqref="B28">
    <cfRule type="expression" dxfId="1836" priority="2319">
      <formula>$B28&lt;&gt;""</formula>
    </cfRule>
  </conditionalFormatting>
  <conditionalFormatting sqref="B31:B40">
    <cfRule type="expression" dxfId="1835" priority="366">
      <formula>$J31&gt;0</formula>
    </cfRule>
  </conditionalFormatting>
  <conditionalFormatting sqref="B41">
    <cfRule type="expression" dxfId="1834" priority="1125">
      <formula>ISNUMBER(SEARCH("UV",$D31))</formula>
    </cfRule>
    <cfRule type="expression" dxfId="1833" priority="1126">
      <formula>($D31="CANOPY TYPE")</formula>
    </cfRule>
  </conditionalFormatting>
  <conditionalFormatting sqref="B42:B44">
    <cfRule type="expression" dxfId="1832" priority="1127">
      <formula>$J42&gt;0</formula>
    </cfRule>
  </conditionalFormatting>
  <conditionalFormatting sqref="B45">
    <cfRule type="expression" dxfId="1831" priority="2318">
      <formula>$B45&lt;&gt;""</formula>
    </cfRule>
  </conditionalFormatting>
  <conditionalFormatting sqref="B48:B57">
    <cfRule type="expression" dxfId="1830" priority="340">
      <formula>$J48&gt;0</formula>
    </cfRule>
  </conditionalFormatting>
  <conditionalFormatting sqref="B58">
    <cfRule type="expression" dxfId="1829" priority="1034">
      <formula>ISNUMBER(SEARCH("UV",$D48))</formula>
    </cfRule>
    <cfRule type="expression" dxfId="1828" priority="1035">
      <formula>($D48="CANOPY TYPE")</formula>
    </cfRule>
  </conditionalFormatting>
  <conditionalFormatting sqref="B59:B61">
    <cfRule type="expression" dxfId="1827" priority="547">
      <formula>$J59&gt;0</formula>
    </cfRule>
  </conditionalFormatting>
  <conditionalFormatting sqref="B62">
    <cfRule type="expression" dxfId="1826" priority="2317">
      <formula>$B62&lt;&gt;""</formula>
    </cfRule>
  </conditionalFormatting>
  <conditionalFormatting sqref="B65:B74">
    <cfRule type="expression" dxfId="1825" priority="314">
      <formula>$J65&gt;0</formula>
    </cfRule>
  </conditionalFormatting>
  <conditionalFormatting sqref="B75">
    <cfRule type="expression" dxfId="1824" priority="944">
      <formula>($D65="CANOPY TYPE")</formula>
    </cfRule>
    <cfRule type="expression" dxfId="1823" priority="943">
      <formula>ISNUMBER(SEARCH("UV",$D65))</formula>
    </cfRule>
  </conditionalFormatting>
  <conditionalFormatting sqref="B76:B78">
    <cfRule type="expression" dxfId="1822" priority="546">
      <formula>$J76&gt;0</formula>
    </cfRule>
  </conditionalFormatting>
  <conditionalFormatting sqref="B79">
    <cfRule type="expression" dxfId="1821" priority="2316">
      <formula>$B79&lt;&gt;""</formula>
    </cfRule>
  </conditionalFormatting>
  <conditionalFormatting sqref="B82:B91">
    <cfRule type="expression" dxfId="1820" priority="288">
      <formula>$J82&gt;0</formula>
    </cfRule>
  </conditionalFormatting>
  <conditionalFormatting sqref="B92">
    <cfRule type="expression" dxfId="1819" priority="853">
      <formula>($D82="CANOPY TYPE")</formula>
    </cfRule>
    <cfRule type="expression" dxfId="1818" priority="852">
      <formula>ISNUMBER(SEARCH("UV",$D82))</formula>
    </cfRule>
  </conditionalFormatting>
  <conditionalFormatting sqref="B93:B95">
    <cfRule type="expression" dxfId="1817" priority="545">
      <formula>$J93&gt;0</formula>
    </cfRule>
  </conditionalFormatting>
  <conditionalFormatting sqref="B96">
    <cfRule type="expression" dxfId="1816" priority="2315">
      <formula>$B96&lt;&gt;""</formula>
    </cfRule>
  </conditionalFormatting>
  <conditionalFormatting sqref="B99:B108">
    <cfRule type="expression" dxfId="1815" priority="262">
      <formula>$J99&gt;0</formula>
    </cfRule>
  </conditionalFormatting>
  <conditionalFormatting sqref="B109">
    <cfRule type="expression" dxfId="1814" priority="761">
      <formula>ISNUMBER(SEARCH("UV",$D99))</formula>
    </cfRule>
    <cfRule type="expression" dxfId="1813" priority="762">
      <formula>($D99="CANOPY TYPE")</formula>
    </cfRule>
  </conditionalFormatting>
  <conditionalFormatting sqref="B110:B112 B127:B129 B144:B146 B161:B163 B178:B180">
    <cfRule type="expression" dxfId="1812" priority="543">
      <formula>$J110&gt;0</formula>
    </cfRule>
  </conditionalFormatting>
  <conditionalFormatting sqref="B113">
    <cfRule type="expression" dxfId="1811" priority="254">
      <formula>$B113&lt;&gt;""</formula>
    </cfRule>
  </conditionalFormatting>
  <conditionalFormatting sqref="B116:B125">
    <cfRule type="expression" dxfId="1810" priority="180">
      <formula>$J116&gt;0</formula>
    </cfRule>
  </conditionalFormatting>
  <conditionalFormatting sqref="B126">
    <cfRule type="expression" dxfId="1809" priority="213">
      <formula>($D116="CANOPY TYPE")</formula>
    </cfRule>
    <cfRule type="expression" dxfId="1808" priority="212">
      <formula>ISNUMBER(SEARCH("UV",$D116))</formula>
    </cfRule>
  </conditionalFormatting>
  <conditionalFormatting sqref="B130">
    <cfRule type="expression" dxfId="1807" priority="168">
      <formula>$B130&lt;&gt;""</formula>
    </cfRule>
  </conditionalFormatting>
  <conditionalFormatting sqref="B133:B142">
    <cfRule type="expression" dxfId="1806" priority="116">
      <formula>$J133&gt;0</formula>
    </cfRule>
  </conditionalFormatting>
  <conditionalFormatting sqref="B143">
    <cfRule type="expression" dxfId="1805" priority="140">
      <formula>ISNUMBER(SEARCH("UV",$D133))</formula>
    </cfRule>
    <cfRule type="expression" dxfId="1804" priority="141">
      <formula>($D133="CANOPY TYPE")</formula>
    </cfRule>
  </conditionalFormatting>
  <conditionalFormatting sqref="B147">
    <cfRule type="expression" dxfId="1803" priority="112">
      <formula>$B147&lt;&gt;""</formula>
    </cfRule>
  </conditionalFormatting>
  <conditionalFormatting sqref="B150:B159">
    <cfRule type="expression" dxfId="1802" priority="60">
      <formula>$J150&gt;0</formula>
    </cfRule>
  </conditionalFormatting>
  <conditionalFormatting sqref="B160">
    <cfRule type="expression" dxfId="1801" priority="84">
      <formula>ISNUMBER(SEARCH("UV",$D150))</formula>
    </cfRule>
    <cfRule type="expression" dxfId="1800" priority="85">
      <formula>($D150="CANOPY TYPE")</formula>
    </cfRule>
  </conditionalFormatting>
  <conditionalFormatting sqref="B164">
    <cfRule type="expression" dxfId="1799" priority="56">
      <formula>$B164&lt;&gt;""</formula>
    </cfRule>
  </conditionalFormatting>
  <conditionalFormatting sqref="B167:B176">
    <cfRule type="expression" dxfId="1798" priority="4">
      <formula>$J167&gt;0</formula>
    </cfRule>
  </conditionalFormatting>
  <conditionalFormatting sqref="B177">
    <cfRule type="expression" dxfId="1797" priority="28">
      <formula>ISNUMBER(SEARCH("UV",$D167))</formula>
    </cfRule>
    <cfRule type="expression" dxfId="1796" priority="29">
      <formula>($D167="CANOPY TYPE")</formula>
    </cfRule>
  </conditionalFormatting>
  <conditionalFormatting sqref="B183:B197">
    <cfRule type="expression" dxfId="1795" priority="1703">
      <formula>$C183&gt;0</formula>
    </cfRule>
  </conditionalFormatting>
  <conditionalFormatting sqref="C14">
    <cfRule type="containsText" dxfId="1794" priority="488" operator="containsText" text="CONFIG">
      <formula>NOT(ISERROR(SEARCH("CONFIG",C14)))</formula>
    </cfRule>
  </conditionalFormatting>
  <conditionalFormatting sqref="C15">
    <cfRule type="containsText" dxfId="1793" priority="503" operator="containsText" text="LIGHT SELECTION">
      <formula>NOT(ISERROR(SEARCH("LIGHT SELECTION",C15)))</formula>
    </cfRule>
  </conditionalFormatting>
  <conditionalFormatting sqref="C16">
    <cfRule type="containsText" dxfId="1792" priority="5592" operator="containsText" text="ANSUL SELECTION">
      <formula>NOT(ISERROR(SEARCH("ANSUL SELECTION",C16)))</formula>
    </cfRule>
  </conditionalFormatting>
  <conditionalFormatting sqref="C20:C21">
    <cfRule type="cellIs" dxfId="1789" priority="5586" operator="lessThan">
      <formula>1</formula>
    </cfRule>
  </conditionalFormatting>
  <conditionalFormatting sqref="C22:C23">
    <cfRule type="expression" dxfId="1788" priority="389">
      <formula>D22="WW PODS"</formula>
    </cfRule>
  </conditionalFormatting>
  <conditionalFormatting sqref="C24">
    <cfRule type="expression" dxfId="1787" priority="5612">
      <formula>ISNUMBER(SEARCH("UV",D14))</formula>
    </cfRule>
  </conditionalFormatting>
  <conditionalFormatting sqref="C25">
    <cfRule type="expression" dxfId="1786" priority="5461">
      <formula>(ISNUMBER(SEARCH("CMW",D14)))=TRUE</formula>
    </cfRule>
  </conditionalFormatting>
  <conditionalFormatting sqref="C26">
    <cfRule type="expression" dxfId="1785" priority="5460">
      <formula>(ISNUMBER(SEARCH("CMW",D14)))=TRUE</formula>
    </cfRule>
  </conditionalFormatting>
  <conditionalFormatting sqref="C27">
    <cfRule type="expression" dxfId="1784" priority="2312">
      <formula>(ISNUMBER(SEARCH("CMW",$D14)))=TRUE</formula>
    </cfRule>
  </conditionalFormatting>
  <conditionalFormatting sqref="C31">
    <cfRule type="containsText" dxfId="1783" priority="1180" operator="containsText" text="CONFIG">
      <formula>NOT(ISERROR(SEARCH("CONFIG",C31)))</formula>
    </cfRule>
  </conditionalFormatting>
  <conditionalFormatting sqref="C32">
    <cfRule type="containsText" dxfId="1782" priority="522" operator="containsText" text="LIGHT SELECTION">
      <formula>NOT(ISERROR(SEARCH("LIGHT SELECTION",C32)))</formula>
    </cfRule>
  </conditionalFormatting>
  <conditionalFormatting sqref="C33">
    <cfRule type="containsText" dxfId="1781" priority="753" operator="containsText" text="ANSUL SELECTION">
      <formula>NOT(ISERROR(SEARCH("ANSUL SELECTION",C33)))</formula>
    </cfRule>
  </conditionalFormatting>
  <conditionalFormatting sqref="C37:C38">
    <cfRule type="cellIs" dxfId="1778" priority="1175" operator="lessThan">
      <formula>1</formula>
    </cfRule>
  </conditionalFormatting>
  <conditionalFormatting sqref="C39:C40">
    <cfRule type="expression" dxfId="1777" priority="365">
      <formula>D39="WW PODS"</formula>
    </cfRule>
  </conditionalFormatting>
  <conditionalFormatting sqref="C41">
    <cfRule type="expression" dxfId="1776" priority="1197">
      <formula>ISNUMBER(SEARCH("UV",D31))</formula>
    </cfRule>
  </conditionalFormatting>
  <conditionalFormatting sqref="C42">
    <cfRule type="expression" dxfId="1775" priority="1166">
      <formula>(ISNUMBER(SEARCH("CMW",D31)))=TRUE</formula>
    </cfRule>
  </conditionalFormatting>
  <conditionalFormatting sqref="C43">
    <cfRule type="expression" dxfId="1774" priority="743">
      <formula>(ISNUMBER(SEARCH("CMW",D31)))=TRUE</formula>
    </cfRule>
  </conditionalFormatting>
  <conditionalFormatting sqref="C44">
    <cfRule type="expression" dxfId="1773" priority="1129">
      <formula>(ISNUMBER(SEARCH("CMW",$D31)))=TRUE</formula>
    </cfRule>
  </conditionalFormatting>
  <conditionalFormatting sqref="C48">
    <cfRule type="containsText" dxfId="1772" priority="1089" operator="containsText" text="CONFIG">
      <formula>NOT(ISERROR(SEARCH("CONFIG",C48)))</formula>
    </cfRule>
  </conditionalFormatting>
  <conditionalFormatting sqref="C49">
    <cfRule type="containsText" dxfId="1771" priority="501" operator="containsText" text="LIGHT SELECTION">
      <formula>NOT(ISERROR(SEARCH("LIGHT SELECTION",C49)))</formula>
    </cfRule>
  </conditionalFormatting>
  <conditionalFormatting sqref="C50">
    <cfRule type="containsText" dxfId="1770" priority="751" operator="containsText" text="ANSUL SELECTION">
      <formula>NOT(ISERROR(SEARCH("ANSUL SELECTION",C50)))</formula>
    </cfRule>
  </conditionalFormatting>
  <conditionalFormatting sqref="C54:C55">
    <cfRule type="cellIs" dxfId="1767" priority="1084" operator="lessThan">
      <formula>1</formula>
    </cfRule>
  </conditionalFormatting>
  <conditionalFormatting sqref="C56:C57">
    <cfRule type="expression" dxfId="1766" priority="339">
      <formula>D56="WW PODS"</formula>
    </cfRule>
  </conditionalFormatting>
  <conditionalFormatting sqref="C58">
    <cfRule type="expression" dxfId="1765" priority="1106">
      <formula>ISNUMBER(SEARCH("UV",D48))</formula>
    </cfRule>
  </conditionalFormatting>
  <conditionalFormatting sqref="C59">
    <cfRule type="expression" dxfId="1764" priority="1075">
      <formula>(ISNUMBER(SEARCH("CMW",D48)))=TRUE</formula>
    </cfRule>
  </conditionalFormatting>
  <conditionalFormatting sqref="C60">
    <cfRule type="expression" dxfId="1763" priority="741">
      <formula>(ISNUMBER(SEARCH("CMW",D48)))=TRUE</formula>
    </cfRule>
  </conditionalFormatting>
  <conditionalFormatting sqref="C61">
    <cfRule type="expression" dxfId="1762" priority="1038">
      <formula>(ISNUMBER(SEARCH("CMW",$D48)))=TRUE</formula>
    </cfRule>
  </conditionalFormatting>
  <conditionalFormatting sqref="C65">
    <cfRule type="containsText" dxfId="1761" priority="998" operator="containsText" text="CONFIG">
      <formula>NOT(ISERROR(SEARCH("CONFIG",C65)))</formula>
    </cfRule>
  </conditionalFormatting>
  <conditionalFormatting sqref="C66">
    <cfRule type="containsText" dxfId="1760" priority="500" operator="containsText" text="LIGHT SELECTION">
      <formula>NOT(ISERROR(SEARCH("LIGHT SELECTION",C66)))</formula>
    </cfRule>
  </conditionalFormatting>
  <conditionalFormatting sqref="C67">
    <cfRule type="containsText" dxfId="1759" priority="748" operator="containsText" text="ANSUL SELECTION">
      <formula>NOT(ISERROR(SEARCH("ANSUL SELECTION",C67)))</formula>
    </cfRule>
  </conditionalFormatting>
  <conditionalFormatting sqref="C71:C72">
    <cfRule type="cellIs" dxfId="1756" priority="993" operator="lessThan">
      <formula>1</formula>
    </cfRule>
  </conditionalFormatting>
  <conditionalFormatting sqref="C73:C74">
    <cfRule type="expression" dxfId="1755" priority="313">
      <formula>D73="WW PODS"</formula>
    </cfRule>
  </conditionalFormatting>
  <conditionalFormatting sqref="C75">
    <cfRule type="expression" dxfId="1754" priority="1015">
      <formula>ISNUMBER(SEARCH("UV",D65))</formula>
    </cfRule>
  </conditionalFormatting>
  <conditionalFormatting sqref="C76">
    <cfRule type="expression" dxfId="1753" priority="984">
      <formula>(ISNUMBER(SEARCH("CMW",D65)))=TRUE</formula>
    </cfRule>
  </conditionalFormatting>
  <conditionalFormatting sqref="C77">
    <cfRule type="expression" dxfId="1752" priority="739">
      <formula>(ISNUMBER(SEARCH("CMW",D65)))=TRUE</formula>
    </cfRule>
  </conditionalFormatting>
  <conditionalFormatting sqref="C78">
    <cfRule type="expression" dxfId="1751" priority="947">
      <formula>(ISNUMBER(SEARCH("CMW",$D65)))=TRUE</formula>
    </cfRule>
  </conditionalFormatting>
  <conditionalFormatting sqref="C82">
    <cfRule type="containsText" dxfId="1750" priority="907" operator="containsText" text="CONFIG">
      <formula>NOT(ISERROR(SEARCH("CONFIG",C82)))</formula>
    </cfRule>
  </conditionalFormatting>
  <conditionalFormatting sqref="C83">
    <cfRule type="containsText" dxfId="1749" priority="498" operator="containsText" text="LIGHT SELECTION">
      <formula>NOT(ISERROR(SEARCH("LIGHT SELECTION",C83)))</formula>
    </cfRule>
  </conditionalFormatting>
  <conditionalFormatting sqref="C84">
    <cfRule type="containsText" dxfId="1748" priority="747" operator="containsText" text="ANSUL SELECTION">
      <formula>NOT(ISERROR(SEARCH("ANSUL SELECTION",C84)))</formula>
    </cfRule>
  </conditionalFormatting>
  <conditionalFormatting sqref="C88:C89">
    <cfRule type="cellIs" dxfId="1745" priority="902" operator="lessThan">
      <formula>1</formula>
    </cfRule>
  </conditionalFormatting>
  <conditionalFormatting sqref="C90:C91">
    <cfRule type="expression" dxfId="1744" priority="287">
      <formula>D90="WW PODS"</formula>
    </cfRule>
  </conditionalFormatting>
  <conditionalFormatting sqref="C92">
    <cfRule type="expression" dxfId="1743" priority="924">
      <formula>ISNUMBER(SEARCH("UV",D82))</formula>
    </cfRule>
  </conditionalFormatting>
  <conditionalFormatting sqref="C93">
    <cfRule type="expression" dxfId="1742" priority="893">
      <formula>(ISNUMBER(SEARCH("CMW",D82)))=TRUE</formula>
    </cfRule>
  </conditionalFormatting>
  <conditionalFormatting sqref="C94">
    <cfRule type="expression" dxfId="1741" priority="738">
      <formula>(ISNUMBER(SEARCH("CMW",D82)))=TRUE</formula>
    </cfRule>
  </conditionalFormatting>
  <conditionalFormatting sqref="C95">
    <cfRule type="expression" dxfId="1740" priority="856">
      <formula>(ISNUMBER(SEARCH("CMW",$D82)))=TRUE</formula>
    </cfRule>
  </conditionalFormatting>
  <conditionalFormatting sqref="C99">
    <cfRule type="containsText" dxfId="1739" priority="816" operator="containsText" text="CONFIG">
      <formula>NOT(ISERROR(SEARCH("CONFIG",C99)))</formula>
    </cfRule>
  </conditionalFormatting>
  <conditionalFormatting sqref="C100">
    <cfRule type="containsText" dxfId="1738" priority="497" operator="containsText" text="LIGHT SELECTION">
      <formula>NOT(ISERROR(SEARCH("LIGHT SELECTION",C100)))</formula>
    </cfRule>
  </conditionalFormatting>
  <conditionalFormatting sqref="C101">
    <cfRule type="containsText" dxfId="1737" priority="745" operator="containsText" text="ANSUL SELECTION">
      <formula>NOT(ISERROR(SEARCH("ANSUL SELECTION",C101)))</formula>
    </cfRule>
  </conditionalFormatting>
  <conditionalFormatting sqref="C105:C106">
    <cfRule type="cellIs" dxfId="1734" priority="811" operator="lessThan">
      <formula>1</formula>
    </cfRule>
  </conditionalFormatting>
  <conditionalFormatting sqref="C107:C108">
    <cfRule type="expression" dxfId="1733" priority="261">
      <formula>D107="WW PODS"</formula>
    </cfRule>
  </conditionalFormatting>
  <conditionalFormatting sqref="C109">
    <cfRule type="expression" dxfId="1732" priority="833">
      <formula>ISNUMBER(SEARCH("UV",D99))</formula>
    </cfRule>
  </conditionalFormatting>
  <conditionalFormatting sqref="C110">
    <cfRule type="expression" dxfId="1731" priority="802">
      <formula>(ISNUMBER(SEARCH("CMW",D99)))=TRUE</formula>
    </cfRule>
  </conditionalFormatting>
  <conditionalFormatting sqref="C111">
    <cfRule type="expression" dxfId="1730" priority="736">
      <formula>(ISNUMBER(SEARCH("CMW",D99)))=TRUE</formula>
    </cfRule>
  </conditionalFormatting>
  <conditionalFormatting sqref="C112 C129 C146 C163 C180">
    <cfRule type="expression" dxfId="1729" priority="765">
      <formula>(ISNUMBER(SEARCH("CMW",$D99)))=TRUE</formula>
    </cfRule>
  </conditionalFormatting>
  <conditionalFormatting sqref="C116">
    <cfRule type="containsText" dxfId="1728" priority="225" operator="containsText" text="CONFIG">
      <formula>NOT(ISERROR(SEARCH("CONFIG",C116)))</formula>
    </cfRule>
  </conditionalFormatting>
  <conditionalFormatting sqref="C117">
    <cfRule type="containsText" dxfId="1727" priority="203" operator="containsText" text="LIGHT SELECTION">
      <formula>NOT(ISERROR(SEARCH("LIGHT SELECTION",C117)))</formula>
    </cfRule>
  </conditionalFormatting>
  <conditionalFormatting sqref="C118">
    <cfRule type="containsText" dxfId="1726" priority="210" operator="containsText" text="ANSUL SELECTION">
      <formula>NOT(ISERROR(SEARCH("ANSUL SELECTION",C118)))</formula>
    </cfRule>
  </conditionalFormatting>
  <conditionalFormatting sqref="C122:C123">
    <cfRule type="cellIs" dxfId="1723" priority="224" operator="lessThan">
      <formula>1</formula>
    </cfRule>
  </conditionalFormatting>
  <conditionalFormatting sqref="C124:C125">
    <cfRule type="expression" dxfId="1722" priority="179">
      <formula>D124="WW PODS"</formula>
    </cfRule>
  </conditionalFormatting>
  <conditionalFormatting sqref="C126">
    <cfRule type="expression" dxfId="1721" priority="239">
      <formula>ISNUMBER(SEARCH("UV",D116))</formula>
    </cfRule>
  </conditionalFormatting>
  <conditionalFormatting sqref="C127">
    <cfRule type="expression" dxfId="1720" priority="219">
      <formula>(ISNUMBER(SEARCH("CMW",D116)))=TRUE</formula>
    </cfRule>
  </conditionalFormatting>
  <conditionalFormatting sqref="C128">
    <cfRule type="expression" dxfId="1719" priority="209">
      <formula>(ISNUMBER(SEARCH("CMW",D116)))=TRUE</formula>
    </cfRule>
  </conditionalFormatting>
  <conditionalFormatting sqref="C133">
    <cfRule type="containsText" dxfId="1718" priority="149" operator="containsText" text="CONFIG">
      <formula>NOT(ISERROR(SEARCH("CONFIG",C133)))</formula>
    </cfRule>
  </conditionalFormatting>
  <conditionalFormatting sqref="C134">
    <cfRule type="containsText" dxfId="1717" priority="132" operator="containsText" text="LIGHT SELECTION">
      <formula>NOT(ISERROR(SEARCH("LIGHT SELECTION",C134)))</formula>
    </cfRule>
  </conditionalFormatting>
  <conditionalFormatting sqref="C135">
    <cfRule type="containsText" dxfId="1716" priority="138" operator="containsText" text="ANSUL SELECTION">
      <formula>NOT(ISERROR(SEARCH("ANSUL SELECTION",C135)))</formula>
    </cfRule>
  </conditionalFormatting>
  <conditionalFormatting sqref="C139:C140">
    <cfRule type="cellIs" dxfId="1713" priority="148" operator="lessThan">
      <formula>1</formula>
    </cfRule>
  </conditionalFormatting>
  <conditionalFormatting sqref="C141:C142">
    <cfRule type="expression" dxfId="1712" priority="115">
      <formula>D141="WW PODS"</formula>
    </cfRule>
  </conditionalFormatting>
  <conditionalFormatting sqref="C143">
    <cfRule type="expression" dxfId="1711" priority="163">
      <formula>ISNUMBER(SEARCH("UV",D133))</formula>
    </cfRule>
  </conditionalFormatting>
  <conditionalFormatting sqref="C144">
    <cfRule type="expression" dxfId="1710" priority="146">
      <formula>(ISNUMBER(SEARCH("CMW",D133)))=TRUE</formula>
    </cfRule>
  </conditionalFormatting>
  <conditionalFormatting sqref="C145">
    <cfRule type="expression" dxfId="1709" priority="137">
      <formula>(ISNUMBER(SEARCH("CMW",D133)))=TRUE</formula>
    </cfRule>
  </conditionalFormatting>
  <conditionalFormatting sqref="C150">
    <cfRule type="containsText" dxfId="1708" priority="93" operator="containsText" text="CONFIG">
      <formula>NOT(ISERROR(SEARCH("CONFIG",C150)))</formula>
    </cfRule>
  </conditionalFormatting>
  <conditionalFormatting sqref="C151">
    <cfRule type="containsText" dxfId="1707" priority="76" operator="containsText" text="LIGHT SELECTION">
      <formula>NOT(ISERROR(SEARCH("LIGHT SELECTION",C151)))</formula>
    </cfRule>
  </conditionalFormatting>
  <conditionalFormatting sqref="C152">
    <cfRule type="containsText" dxfId="1706" priority="82" operator="containsText" text="ANSUL SELECTION">
      <formula>NOT(ISERROR(SEARCH("ANSUL SELECTION",C152)))</formula>
    </cfRule>
  </conditionalFormatting>
  <conditionalFormatting sqref="C156:C157">
    <cfRule type="cellIs" dxfId="1703" priority="92" operator="lessThan">
      <formula>1</formula>
    </cfRule>
  </conditionalFormatting>
  <conditionalFormatting sqref="C158:C159">
    <cfRule type="expression" dxfId="1702" priority="59">
      <formula>D158="WW PODS"</formula>
    </cfRule>
  </conditionalFormatting>
  <conditionalFormatting sqref="C160">
    <cfRule type="expression" dxfId="1701" priority="107">
      <formula>ISNUMBER(SEARCH("UV",D150))</formula>
    </cfRule>
  </conditionalFormatting>
  <conditionalFormatting sqref="C161">
    <cfRule type="expression" dxfId="1700" priority="90">
      <formula>(ISNUMBER(SEARCH("CMW",D150)))=TRUE</formula>
    </cfRule>
  </conditionalFormatting>
  <conditionalFormatting sqref="C162">
    <cfRule type="expression" dxfId="1699" priority="81">
      <formula>(ISNUMBER(SEARCH("CMW",D150)))=TRUE</formula>
    </cfRule>
  </conditionalFormatting>
  <conditionalFormatting sqref="C167">
    <cfRule type="containsText" dxfId="1698" priority="37" operator="containsText" text="CONFIG">
      <formula>NOT(ISERROR(SEARCH("CONFIG",C167)))</formula>
    </cfRule>
  </conditionalFormatting>
  <conditionalFormatting sqref="C168">
    <cfRule type="containsText" dxfId="1697" priority="20" operator="containsText" text="LIGHT SELECTION">
      <formula>NOT(ISERROR(SEARCH("LIGHT SELECTION",C168)))</formula>
    </cfRule>
  </conditionalFormatting>
  <conditionalFormatting sqref="C169">
    <cfRule type="containsText" dxfId="1696" priority="26" operator="containsText" text="ANSUL SELECTION">
      <formula>NOT(ISERROR(SEARCH("ANSUL SELECTION",C169)))</formula>
    </cfRule>
  </conditionalFormatting>
  <conditionalFormatting sqref="C173:C174">
    <cfRule type="cellIs" dxfId="1693" priority="36" operator="lessThan">
      <formula>1</formula>
    </cfRule>
  </conditionalFormatting>
  <conditionalFormatting sqref="C175:C176">
    <cfRule type="expression" dxfId="1692" priority="3">
      <formula>D175="WW PODS"</formula>
    </cfRule>
  </conditionalFormatting>
  <conditionalFormatting sqref="C177">
    <cfRule type="expression" dxfId="1691" priority="51">
      <formula>ISNUMBER(SEARCH("UV",D167))</formula>
    </cfRule>
  </conditionalFormatting>
  <conditionalFormatting sqref="C178">
    <cfRule type="expression" dxfId="1690" priority="34">
      <formula>(ISNUMBER(SEARCH("CMW",D167)))=TRUE</formula>
    </cfRule>
  </conditionalFormatting>
  <conditionalFormatting sqref="C179">
    <cfRule type="expression" dxfId="1689" priority="25">
      <formula>(ISNUMBER(SEARCH("CMW",D167)))=TRUE</formula>
    </cfRule>
  </conditionalFormatting>
  <conditionalFormatting sqref="C183:C184">
    <cfRule type="cellIs" dxfId="1688" priority="5591" operator="lessThan">
      <formula>1</formula>
    </cfRule>
  </conditionalFormatting>
  <conditionalFormatting sqref="C185">
    <cfRule type="cellIs" dxfId="1687" priority="5512" operator="lessThan">
      <formula>1</formula>
    </cfRule>
  </conditionalFormatting>
  <conditionalFormatting sqref="C186:C197">
    <cfRule type="cellIs" dxfId="1686" priority="173" operator="lessThan">
      <formula>1</formula>
    </cfRule>
  </conditionalFormatting>
  <conditionalFormatting sqref="C9:D9">
    <cfRule type="cellIs" dxfId="1685" priority="5529" operator="greaterThan">
      <formula>0</formula>
    </cfRule>
    <cfRule type="cellIs" dxfId="1684" priority="5528" operator="lessThan">
      <formula>0</formula>
    </cfRule>
  </conditionalFormatting>
  <conditionalFormatting sqref="D14">
    <cfRule type="containsText" dxfId="1683" priority="5595" operator="containsText" text="CANOPY TYPE">
      <formula>NOT(ISERROR(SEARCH("CANOPY TYPE",D14)))</formula>
    </cfRule>
  </conditionalFormatting>
  <conditionalFormatting sqref="D15">
    <cfRule type="expression" dxfId="1682" priority="481">
      <formula>(C15="LIGHT SELECTION")</formula>
    </cfRule>
  </conditionalFormatting>
  <conditionalFormatting sqref="D17:D18">
    <cfRule type="expression" dxfId="1681" priority="3293">
      <formula>($C17="SELECT WORKS")</formula>
    </cfRule>
  </conditionalFormatting>
  <conditionalFormatting sqref="D19">
    <cfRule type="expression" dxfId="1680" priority="172">
      <formula>$C19="SELECT CLADDING"</formula>
    </cfRule>
  </conditionalFormatting>
  <conditionalFormatting sqref="D22:D23">
    <cfRule type="expression" dxfId="1679" priority="386">
      <formula>($D$14="CANOPY TYPE")</formula>
    </cfRule>
  </conditionalFormatting>
  <conditionalFormatting sqref="D24">
    <cfRule type="expression" dxfId="1678" priority="5611">
      <formula>ISNUMBER(SEARCH("UV",D14))</formula>
    </cfRule>
  </conditionalFormatting>
  <conditionalFormatting sqref="D25">
    <cfRule type="expression" dxfId="1677" priority="1219">
      <formula>($D$14="CANOPY TYPE")</formula>
    </cfRule>
  </conditionalFormatting>
  <conditionalFormatting sqref="D26">
    <cfRule type="expression" dxfId="1676" priority="4816">
      <formula>(ISNUMBER(SEARCH("CMW",D14)))=TRUE</formula>
    </cfRule>
  </conditionalFormatting>
  <conditionalFormatting sqref="D31">
    <cfRule type="containsText" dxfId="1675" priority="1182" operator="containsText" text="CANOPY TYPE">
      <formula>NOT(ISERROR(SEARCH("CANOPY TYPE",D31)))</formula>
    </cfRule>
  </conditionalFormatting>
  <conditionalFormatting sqref="D32">
    <cfRule type="expression" dxfId="1674" priority="530">
      <formula>(C32="LIGHT SELECTION")</formula>
    </cfRule>
  </conditionalFormatting>
  <conditionalFormatting sqref="D34:D35">
    <cfRule type="expression" dxfId="1673" priority="1131">
      <formula>($C34="SELECT WORKS")</formula>
    </cfRule>
  </conditionalFormatting>
  <conditionalFormatting sqref="D36">
    <cfRule type="expression" dxfId="1672" priority="409">
      <formula>$C36="SELECT CLADDING"</formula>
    </cfRule>
  </conditionalFormatting>
  <conditionalFormatting sqref="D39:D40">
    <cfRule type="expression" dxfId="1671" priority="360">
      <formula>($D$14="CANOPY TYPE")</formula>
    </cfRule>
  </conditionalFormatting>
  <conditionalFormatting sqref="D41">
    <cfRule type="expression" dxfId="1670" priority="1196">
      <formula>ISNUMBER(SEARCH("UV",D31))</formula>
    </cfRule>
  </conditionalFormatting>
  <conditionalFormatting sqref="D42">
    <cfRule type="expression" dxfId="1669" priority="1123">
      <formula>($D$14="CANOPY TYPE")</formula>
    </cfRule>
  </conditionalFormatting>
  <conditionalFormatting sqref="D43">
    <cfRule type="expression" dxfId="1668" priority="1144">
      <formula>(ISNUMBER(SEARCH("CMW",D31)))=TRUE</formula>
    </cfRule>
  </conditionalFormatting>
  <conditionalFormatting sqref="D48">
    <cfRule type="containsText" dxfId="1667" priority="452" operator="containsText" text="CANOPY TYPE">
      <formula>NOT(ISERROR(SEARCH("CANOPY TYPE",D48)))</formula>
    </cfRule>
  </conditionalFormatting>
  <conditionalFormatting sqref="D49">
    <cfRule type="expression" dxfId="1666" priority="506">
      <formula>(C15="LIGHT SELECTION")</formula>
    </cfRule>
  </conditionalFormatting>
  <conditionalFormatting sqref="D51:D52">
    <cfRule type="expression" dxfId="1665" priority="1040">
      <formula>($C51="SELECT WORKS")</formula>
    </cfRule>
  </conditionalFormatting>
  <conditionalFormatting sqref="D53">
    <cfRule type="expression" dxfId="1664" priority="410">
      <formula>$C53="SELECT CLADDING"</formula>
    </cfRule>
  </conditionalFormatting>
  <conditionalFormatting sqref="D56:D57">
    <cfRule type="expression" dxfId="1663" priority="334">
      <formula>($D$14="CANOPY TYPE")</formula>
    </cfRule>
  </conditionalFormatting>
  <conditionalFormatting sqref="D58">
    <cfRule type="expression" dxfId="1662" priority="1105">
      <formula>ISNUMBER(SEARCH("UV",D48))</formula>
    </cfRule>
  </conditionalFormatting>
  <conditionalFormatting sqref="D59">
    <cfRule type="expression" dxfId="1661" priority="1032">
      <formula>($D$14="CANOPY TYPE")</formula>
    </cfRule>
  </conditionalFormatting>
  <conditionalFormatting sqref="D60">
    <cfRule type="expression" dxfId="1660" priority="1053">
      <formula>(ISNUMBER(SEARCH("CMW",D48)))=TRUE</formula>
    </cfRule>
  </conditionalFormatting>
  <conditionalFormatting sqref="D65">
    <cfRule type="containsText" dxfId="1659" priority="450" operator="containsText" text="CANOPY TYPE">
      <formula>NOT(ISERROR(SEARCH("CANOPY TYPE",D65)))</formula>
    </cfRule>
  </conditionalFormatting>
  <conditionalFormatting sqref="D66">
    <cfRule type="expression" dxfId="1658" priority="487">
      <formula>(C66="LIGHT SELECTION")</formula>
    </cfRule>
  </conditionalFormatting>
  <conditionalFormatting sqref="D68:D69">
    <cfRule type="expression" dxfId="1657" priority="949">
      <formula>($C68="SELECT WORKS")</formula>
    </cfRule>
  </conditionalFormatting>
  <conditionalFormatting sqref="D70">
    <cfRule type="expression" dxfId="1656" priority="985">
      <formula>$C70="SELECT CLADDING"</formula>
    </cfRule>
  </conditionalFormatting>
  <conditionalFormatting sqref="D73:D74">
    <cfRule type="expression" dxfId="1655" priority="308">
      <formula>($D$14="CANOPY TYPE")</formula>
    </cfRule>
  </conditionalFormatting>
  <conditionalFormatting sqref="D75">
    <cfRule type="expression" dxfId="1654" priority="1014">
      <formula>ISNUMBER(SEARCH("UV",D65))</formula>
    </cfRule>
  </conditionalFormatting>
  <conditionalFormatting sqref="D76">
    <cfRule type="expression" dxfId="1653" priority="941">
      <formula>($D$14="CANOPY TYPE")</formula>
    </cfRule>
  </conditionalFormatting>
  <conditionalFormatting sqref="D77">
    <cfRule type="expression" dxfId="1652" priority="962">
      <formula>(ISNUMBER(SEARCH("CMW",D65)))=TRUE</formula>
    </cfRule>
  </conditionalFormatting>
  <conditionalFormatting sqref="D82">
    <cfRule type="containsText" dxfId="1651" priority="909" operator="containsText" text="CANOPY TYPE">
      <formula>NOT(ISERROR(SEARCH("CANOPY TYPE",D82)))</formula>
    </cfRule>
  </conditionalFormatting>
  <conditionalFormatting sqref="D83">
    <cfRule type="expression" dxfId="1650" priority="486">
      <formula>(C83="LIGHT SELECTION")</formula>
    </cfRule>
  </conditionalFormatting>
  <conditionalFormatting sqref="D85:D86">
    <cfRule type="expression" dxfId="1649" priority="858">
      <formula>($C85="SELECT WORKS")</formula>
    </cfRule>
  </conditionalFormatting>
  <conditionalFormatting sqref="D87">
    <cfRule type="expression" dxfId="1648" priority="894">
      <formula>$C87="SELECT CLADDING"</formula>
    </cfRule>
  </conditionalFormatting>
  <conditionalFormatting sqref="D90:D91">
    <cfRule type="expression" dxfId="1647" priority="282">
      <formula>($D$14="CANOPY TYPE")</formula>
    </cfRule>
  </conditionalFormatting>
  <conditionalFormatting sqref="D92">
    <cfRule type="expression" dxfId="1646" priority="923">
      <formula>ISNUMBER(SEARCH("UV",D82))</formula>
    </cfRule>
  </conditionalFormatting>
  <conditionalFormatting sqref="D93">
    <cfRule type="expression" dxfId="1645" priority="850">
      <formula>($D$14="CANOPY TYPE")</formula>
    </cfRule>
  </conditionalFormatting>
  <conditionalFormatting sqref="D94">
    <cfRule type="expression" dxfId="1644" priority="871">
      <formula>(ISNUMBER(SEARCH("CMW",D82)))=TRUE</formula>
    </cfRule>
  </conditionalFormatting>
  <conditionalFormatting sqref="D99">
    <cfRule type="containsText" dxfId="1643" priority="818" operator="containsText" text="CANOPY TYPE">
      <formula>NOT(ISERROR(SEARCH("CANOPY TYPE",D99)))</formula>
    </cfRule>
  </conditionalFormatting>
  <conditionalFormatting sqref="D100">
    <cfRule type="expression" dxfId="1642" priority="484">
      <formula>(C100="LIGHT SELECTION")</formula>
    </cfRule>
  </conditionalFormatting>
  <conditionalFormatting sqref="D102:D103">
    <cfRule type="expression" dxfId="1641" priority="767">
      <formula>($C102="SELECT WORKS")</formula>
    </cfRule>
  </conditionalFormatting>
  <conditionalFormatting sqref="D104">
    <cfRule type="expression" dxfId="1640" priority="407">
      <formula>$C104="SELECT CLADDING"</formula>
    </cfRule>
  </conditionalFormatting>
  <conditionalFormatting sqref="D107:D108">
    <cfRule type="expression" dxfId="1639" priority="256">
      <formula>($D$14="CANOPY TYPE")</formula>
    </cfRule>
  </conditionalFormatting>
  <conditionalFormatting sqref="D109">
    <cfRule type="expression" dxfId="1638" priority="832">
      <formula>ISNUMBER(SEARCH("UV",D99))</formula>
    </cfRule>
  </conditionalFormatting>
  <conditionalFormatting sqref="D110">
    <cfRule type="expression" dxfId="1637" priority="759">
      <formula>($D$14="CANOPY TYPE")</formula>
    </cfRule>
  </conditionalFormatting>
  <conditionalFormatting sqref="D111">
    <cfRule type="expression" dxfId="1636" priority="780">
      <formula>(ISNUMBER(SEARCH("CMW",D99)))=TRUE</formula>
    </cfRule>
  </conditionalFormatting>
  <conditionalFormatting sqref="D116">
    <cfRule type="containsText" dxfId="1635" priority="226" operator="containsText" text="CANOPY TYPE">
      <formula>NOT(ISERROR(SEARCH("CANOPY TYPE",D116)))</formula>
    </cfRule>
  </conditionalFormatting>
  <conditionalFormatting sqref="D117">
    <cfRule type="expression" dxfId="1634" priority="202">
      <formula>(C117="LIGHT SELECTION")</formula>
    </cfRule>
  </conditionalFormatting>
  <conditionalFormatting sqref="D119:D120">
    <cfRule type="expression" dxfId="1633" priority="215">
      <formula>($C119="SELECT WORKS")</formula>
    </cfRule>
  </conditionalFormatting>
  <conditionalFormatting sqref="D121">
    <cfRule type="expression" dxfId="1632" priority="200">
      <formula>$C121="SELECT CLADDING"</formula>
    </cfRule>
  </conditionalFormatting>
  <conditionalFormatting sqref="D124:D125">
    <cfRule type="expression" dxfId="1631" priority="174">
      <formula>($D$14="CANOPY TYPE")</formula>
    </cfRule>
  </conditionalFormatting>
  <conditionalFormatting sqref="D126">
    <cfRule type="expression" dxfId="1630" priority="238">
      <formula>ISNUMBER(SEARCH("UV",D116))</formula>
    </cfRule>
  </conditionalFormatting>
  <conditionalFormatting sqref="D127">
    <cfRule type="expression" dxfId="1629" priority="211">
      <formula>($D$14="CANOPY TYPE")</formula>
    </cfRule>
  </conditionalFormatting>
  <conditionalFormatting sqref="D128">
    <cfRule type="expression" dxfId="1628" priority="217">
      <formula>(ISNUMBER(SEARCH("CMW",D116)))=TRUE</formula>
    </cfRule>
  </conditionalFormatting>
  <conditionalFormatting sqref="D133">
    <cfRule type="containsText" dxfId="1627" priority="150" operator="containsText" text="CANOPY TYPE">
      <formula>NOT(ISERROR(SEARCH("CANOPY TYPE",D133)))</formula>
    </cfRule>
  </conditionalFormatting>
  <conditionalFormatting sqref="D134">
    <cfRule type="expression" dxfId="1626" priority="131">
      <formula>(C134="LIGHT SELECTION")</formula>
    </cfRule>
  </conditionalFormatting>
  <conditionalFormatting sqref="D136:D137">
    <cfRule type="expression" dxfId="1625" priority="143">
      <formula>($C136="SELECT WORKS")</formula>
    </cfRule>
  </conditionalFormatting>
  <conditionalFormatting sqref="D138">
    <cfRule type="expression" dxfId="1624" priority="130">
      <formula>$C138="SELECT CLADDING"</formula>
    </cfRule>
  </conditionalFormatting>
  <conditionalFormatting sqref="D141:D142">
    <cfRule type="expression" dxfId="1623" priority="114">
      <formula>($D$14="CANOPY TYPE")</formula>
    </cfRule>
  </conditionalFormatting>
  <conditionalFormatting sqref="D143">
    <cfRule type="expression" dxfId="1622" priority="162">
      <formula>ISNUMBER(SEARCH("UV",D133))</formula>
    </cfRule>
  </conditionalFormatting>
  <conditionalFormatting sqref="D144">
    <cfRule type="expression" dxfId="1621" priority="139">
      <formula>($D$14="CANOPY TYPE")</formula>
    </cfRule>
  </conditionalFormatting>
  <conditionalFormatting sqref="D145">
    <cfRule type="expression" dxfId="1620" priority="145">
      <formula>(ISNUMBER(SEARCH("CMW",D133)))=TRUE</formula>
    </cfRule>
  </conditionalFormatting>
  <conditionalFormatting sqref="D150">
    <cfRule type="containsText" dxfId="1619" priority="94" operator="containsText" text="CANOPY TYPE">
      <formula>NOT(ISERROR(SEARCH("CANOPY TYPE",D150)))</formula>
    </cfRule>
  </conditionalFormatting>
  <conditionalFormatting sqref="D151">
    <cfRule type="expression" dxfId="1618" priority="75">
      <formula>(C151="LIGHT SELECTION")</formula>
    </cfRule>
  </conditionalFormatting>
  <conditionalFormatting sqref="D153:D154">
    <cfRule type="expression" dxfId="1617" priority="87">
      <formula>($C153="SELECT WORKS")</formula>
    </cfRule>
  </conditionalFormatting>
  <conditionalFormatting sqref="D155">
    <cfRule type="expression" dxfId="1616" priority="74">
      <formula>$C155="SELECT CLADDING"</formula>
    </cfRule>
  </conditionalFormatting>
  <conditionalFormatting sqref="D158:D159">
    <cfRule type="expression" dxfId="1615" priority="58">
      <formula>($D$14="CANOPY TYPE")</formula>
    </cfRule>
  </conditionalFormatting>
  <conditionalFormatting sqref="D160">
    <cfRule type="expression" dxfId="1614" priority="106">
      <formula>ISNUMBER(SEARCH("UV",D150))</formula>
    </cfRule>
  </conditionalFormatting>
  <conditionalFormatting sqref="D161">
    <cfRule type="expression" dxfId="1613" priority="83">
      <formula>($D$14="CANOPY TYPE")</formula>
    </cfRule>
  </conditionalFormatting>
  <conditionalFormatting sqref="D162">
    <cfRule type="expression" dxfId="1612" priority="89">
      <formula>(ISNUMBER(SEARCH("CMW",D150)))=TRUE</formula>
    </cfRule>
  </conditionalFormatting>
  <conditionalFormatting sqref="D167">
    <cfRule type="containsText" dxfId="1611" priority="38" operator="containsText" text="CANOPY TYPE">
      <formula>NOT(ISERROR(SEARCH("CANOPY TYPE",D167)))</formula>
    </cfRule>
  </conditionalFormatting>
  <conditionalFormatting sqref="D168">
    <cfRule type="expression" dxfId="1610" priority="19">
      <formula>(C168="LIGHT SELECTION")</formula>
    </cfRule>
  </conditionalFormatting>
  <conditionalFormatting sqref="D170:D171">
    <cfRule type="expression" dxfId="1609" priority="31">
      <formula>($C170="SELECT WORKS")</formula>
    </cfRule>
  </conditionalFormatting>
  <conditionalFormatting sqref="D172">
    <cfRule type="expression" dxfId="1608" priority="18">
      <formula>$C172="SELECT CLADDING"</formula>
    </cfRule>
  </conditionalFormatting>
  <conditionalFormatting sqref="D175:D176">
    <cfRule type="expression" dxfId="1607" priority="2">
      <formula>($D$14="CANOPY TYPE")</formula>
    </cfRule>
  </conditionalFormatting>
  <conditionalFormatting sqref="D177">
    <cfRule type="expression" dxfId="1606" priority="50">
      <formula>ISNUMBER(SEARCH("UV",D167))</formula>
    </cfRule>
  </conditionalFormatting>
  <conditionalFormatting sqref="D178">
    <cfRule type="expression" dxfId="1605" priority="27">
      <formula>($D$14="CANOPY TYPE")</formula>
    </cfRule>
  </conditionalFormatting>
  <conditionalFormatting sqref="D179">
    <cfRule type="expression" dxfId="1604" priority="33">
      <formula>(ISNUMBER(SEARCH("CMW",D167)))=TRUE</formula>
    </cfRule>
  </conditionalFormatting>
  <conditionalFormatting sqref="E12">
    <cfRule type="expression" dxfId="1603" priority="5607">
      <formula>AND((ISNUMBER(SEARCH("I-MUAP",$D$14))),E12&lt;2500)</formula>
    </cfRule>
    <cfRule type="expression" dxfId="1602" priority="5608">
      <formula>ISNUMBER(SEARCH("I-MUAP",$D$14))</formula>
    </cfRule>
    <cfRule type="cellIs" dxfId="1601" priority="5609" operator="greaterThan">
      <formula>2000</formula>
    </cfRule>
  </conditionalFormatting>
  <conditionalFormatting sqref="E15">
    <cfRule type="expression" dxfId="1600" priority="474">
      <formula>(C15="LIGHT SELECTION")</formula>
    </cfRule>
  </conditionalFormatting>
  <conditionalFormatting sqref="E17:E18">
    <cfRule type="expression" dxfId="1599" priority="1">
      <formula>$C17="SELECT WORKS"</formula>
    </cfRule>
  </conditionalFormatting>
  <conditionalFormatting sqref="E22:E23">
    <cfRule type="expression" dxfId="1598" priority="5613">
      <formula>(D14="CANOPY TYPE")</formula>
    </cfRule>
    <cfRule type="expression" dxfId="1597" priority="5581">
      <formula>D22="FILTER TYPE"</formula>
    </cfRule>
    <cfRule type="expression" dxfId="1596" priority="5536">
      <formula>D22="WW PODS"</formula>
    </cfRule>
    <cfRule type="expression" dxfId="1595" priority="5582">
      <formula>D22="KSA"</formula>
    </cfRule>
  </conditionalFormatting>
  <conditionalFormatting sqref="E24">
    <cfRule type="containsText" dxfId="1594" priority="5597" operator="containsText" text="LONG ">
      <formula>NOT(ISERROR(SEARCH("LONG ",E24)))</formula>
    </cfRule>
  </conditionalFormatting>
  <conditionalFormatting sqref="E29">
    <cfRule type="cellIs" dxfId="1593" priority="1195" operator="greaterThan">
      <formula>2000</formula>
    </cfRule>
    <cfRule type="expression" dxfId="1592" priority="1194">
      <formula>ISNUMBER(SEARCH("I-MUAP",$D$14))</formula>
    </cfRule>
    <cfRule type="expression" dxfId="1591" priority="1193">
      <formula>AND((ISNUMBER(SEARCH("I-MUAP",$D$14))),E29&lt;2500)</formula>
    </cfRule>
  </conditionalFormatting>
  <conditionalFormatting sqref="E34">
    <cfRule type="expression" dxfId="1590" priority="1130">
      <formula>$C34="SELECT WORKS"</formula>
    </cfRule>
  </conditionalFormatting>
  <conditionalFormatting sqref="E39:E40">
    <cfRule type="expression" dxfId="1589" priority="376">
      <formula>(D31="CANOPY TYPE")</formula>
    </cfRule>
    <cfRule type="expression" dxfId="1588" priority="375">
      <formula>D39="KSA"</formula>
    </cfRule>
    <cfRule type="expression" dxfId="1587" priority="374">
      <formula>D39="FILTER TYPE"</formula>
    </cfRule>
    <cfRule type="expression" dxfId="1586" priority="373">
      <formula>D39="WW PODS"</formula>
    </cfRule>
  </conditionalFormatting>
  <conditionalFormatting sqref="E41">
    <cfRule type="containsText" dxfId="1585" priority="1184" operator="containsText" text="LONG ">
      <formula>NOT(ISERROR(SEARCH("LONG ",E41)))</formula>
    </cfRule>
  </conditionalFormatting>
  <conditionalFormatting sqref="E46">
    <cfRule type="expression" dxfId="1584" priority="1102">
      <formula>AND((ISNUMBER(SEARCH("I-MUAP",$D$14))),E46&lt;2500)</formula>
    </cfRule>
    <cfRule type="expression" dxfId="1583" priority="1103">
      <formula>ISNUMBER(SEARCH("I-MUAP",$D$14))</formula>
    </cfRule>
    <cfRule type="cellIs" dxfId="1582" priority="1104" operator="greaterThan">
      <formula>2000</formula>
    </cfRule>
  </conditionalFormatting>
  <conditionalFormatting sqref="E49">
    <cfRule type="expression" dxfId="1581" priority="523">
      <formula>(C49="LIGHT SELECTION")</formula>
    </cfRule>
  </conditionalFormatting>
  <conditionalFormatting sqref="E51:E52">
    <cfRule type="expression" dxfId="1580" priority="1039">
      <formula>$C51="SELECT WORKS"</formula>
    </cfRule>
  </conditionalFormatting>
  <conditionalFormatting sqref="E56:E57">
    <cfRule type="expression" dxfId="1579" priority="349">
      <formula>D56="KSA"</formula>
    </cfRule>
    <cfRule type="expression" dxfId="1578" priority="348">
      <formula>D56="FILTER TYPE"</formula>
    </cfRule>
    <cfRule type="expression" dxfId="1577" priority="347">
      <formula>D56="WW PODS"</formula>
    </cfRule>
    <cfRule type="expression" dxfId="1576" priority="350">
      <formula>(D48="CANOPY TYPE")</formula>
    </cfRule>
  </conditionalFormatting>
  <conditionalFormatting sqref="E58">
    <cfRule type="containsText" dxfId="1575" priority="1093" operator="containsText" text="LONG ">
      <formula>NOT(ISERROR(SEARCH("LONG ",E58)))</formula>
    </cfRule>
  </conditionalFormatting>
  <conditionalFormatting sqref="E63">
    <cfRule type="cellIs" dxfId="1574" priority="1013" operator="greaterThan">
      <formula>2000</formula>
    </cfRule>
    <cfRule type="expression" dxfId="1573" priority="1011">
      <formula>AND((ISNUMBER(SEARCH("I-MUAP",$D$14))),E63&lt;2500)</formula>
    </cfRule>
    <cfRule type="expression" dxfId="1572" priority="1012">
      <formula>ISNUMBER(SEARCH("I-MUAP",$D$14))</formula>
    </cfRule>
  </conditionalFormatting>
  <conditionalFormatting sqref="E68:E69">
    <cfRule type="expression" dxfId="1571" priority="948">
      <formula>$C68="SELECT WORKS"</formula>
    </cfRule>
  </conditionalFormatting>
  <conditionalFormatting sqref="E73:E74">
    <cfRule type="expression" dxfId="1570" priority="321">
      <formula>D73="WW PODS"</formula>
    </cfRule>
    <cfRule type="expression" dxfId="1569" priority="323">
      <formula>D73="KSA"</formula>
    </cfRule>
    <cfRule type="expression" dxfId="1568" priority="324">
      <formula>(D65="CANOPY TYPE")</formula>
    </cfRule>
    <cfRule type="expression" dxfId="1567" priority="322">
      <formula>D73="FILTER TYPE"</formula>
    </cfRule>
  </conditionalFormatting>
  <conditionalFormatting sqref="E75">
    <cfRule type="containsText" dxfId="1566" priority="1002" operator="containsText" text="LONG ">
      <formula>NOT(ISERROR(SEARCH("LONG ",E75)))</formula>
    </cfRule>
  </conditionalFormatting>
  <conditionalFormatting sqref="E80">
    <cfRule type="expression" dxfId="1565" priority="920">
      <formula>AND((ISNUMBER(SEARCH("I-MUAP",$D$14))),E80&lt;2500)</formula>
    </cfRule>
    <cfRule type="expression" dxfId="1564" priority="921">
      <formula>ISNUMBER(SEARCH("I-MUAP",$D$14))</formula>
    </cfRule>
    <cfRule type="cellIs" dxfId="1563" priority="922" operator="greaterThan">
      <formula>2000</formula>
    </cfRule>
  </conditionalFormatting>
  <conditionalFormatting sqref="E85:E86">
    <cfRule type="expression" dxfId="1562" priority="857">
      <formula>$C85="SELECT WORKS"</formula>
    </cfRule>
  </conditionalFormatting>
  <conditionalFormatting sqref="E90:E91">
    <cfRule type="expression" dxfId="1561" priority="295">
      <formula>D90="WW PODS"</formula>
    </cfRule>
    <cfRule type="expression" dxfId="1560" priority="296">
      <formula>D90="FILTER TYPE"</formula>
    </cfRule>
    <cfRule type="expression" dxfId="1559" priority="297">
      <formula>D90="KSA"</formula>
    </cfRule>
    <cfRule type="expression" dxfId="1558" priority="298">
      <formula>(D82="CANOPY TYPE")</formula>
    </cfRule>
  </conditionalFormatting>
  <conditionalFormatting sqref="E92">
    <cfRule type="containsText" dxfId="1557" priority="911" operator="containsText" text="LONG ">
      <formula>NOT(ISERROR(SEARCH("LONG ",E92)))</formula>
    </cfRule>
  </conditionalFormatting>
  <conditionalFormatting sqref="E97">
    <cfRule type="expression" dxfId="1556" priority="829">
      <formula>AND((ISNUMBER(SEARCH("I-MUAP",$D$14))),E97&lt;2500)</formula>
    </cfRule>
    <cfRule type="expression" dxfId="1555" priority="830">
      <formula>ISNUMBER(SEARCH("I-MUAP",$D$14))</formula>
    </cfRule>
    <cfRule type="cellIs" dxfId="1554" priority="831" operator="greaterThan">
      <formula>2000</formula>
    </cfRule>
  </conditionalFormatting>
  <conditionalFormatting sqref="E102:E103">
    <cfRule type="expression" dxfId="1553" priority="766">
      <formula>$C102="SELECT WORKS"</formula>
    </cfRule>
  </conditionalFormatting>
  <conditionalFormatting sqref="E107:E108">
    <cfRule type="expression" dxfId="1552" priority="272">
      <formula>(D99="CANOPY TYPE")</formula>
    </cfRule>
    <cfRule type="expression" dxfId="1551" priority="271">
      <formula>D107="KSA"</formula>
    </cfRule>
    <cfRule type="expression" dxfId="1550" priority="270">
      <formula>D107="FILTER TYPE"</formula>
    </cfRule>
    <cfRule type="expression" dxfId="1549" priority="269">
      <formula>D107="WW PODS"</formula>
    </cfRule>
  </conditionalFormatting>
  <conditionalFormatting sqref="E109">
    <cfRule type="containsText" dxfId="1548" priority="820" operator="containsText" text="LONG ">
      <formula>NOT(ISERROR(SEARCH("LONG ",E109)))</formula>
    </cfRule>
  </conditionalFormatting>
  <conditionalFormatting sqref="E114">
    <cfRule type="expression" dxfId="1547" priority="235">
      <formula>AND((ISNUMBER(SEARCH("I-MUAP",$D$14))),E114&lt;2500)</formula>
    </cfRule>
    <cfRule type="expression" dxfId="1546" priority="236">
      <formula>ISNUMBER(SEARCH("I-MUAP",$D$14))</formula>
    </cfRule>
    <cfRule type="cellIs" dxfId="1545" priority="237" operator="greaterThan">
      <formula>2000</formula>
    </cfRule>
  </conditionalFormatting>
  <conditionalFormatting sqref="E119:E120">
    <cfRule type="expression" dxfId="1544" priority="214">
      <formula>$C119="SELECT WORKS"</formula>
    </cfRule>
  </conditionalFormatting>
  <conditionalFormatting sqref="E124:E125">
    <cfRule type="expression" dxfId="1543" priority="189">
      <formula>D124="KSA"</formula>
    </cfRule>
    <cfRule type="expression" dxfId="1542" priority="190">
      <formula>(D116="CANOPY TYPE")</formula>
    </cfRule>
    <cfRule type="expression" dxfId="1541" priority="187">
      <formula>D124="WW PODS"</formula>
    </cfRule>
    <cfRule type="expression" dxfId="1540" priority="188">
      <formula>D124="FILTER TYPE"</formula>
    </cfRule>
  </conditionalFormatting>
  <conditionalFormatting sqref="E126">
    <cfRule type="containsText" dxfId="1539" priority="228" operator="containsText" text="LONG ">
      <formula>NOT(ISERROR(SEARCH("LONG ",E126)))</formula>
    </cfRule>
  </conditionalFormatting>
  <conditionalFormatting sqref="E131">
    <cfRule type="cellIs" dxfId="1538" priority="161" operator="greaterThan">
      <formula>2000</formula>
    </cfRule>
    <cfRule type="expression" dxfId="1537" priority="160">
      <formula>ISNUMBER(SEARCH("I-MUAP",$D$14))</formula>
    </cfRule>
    <cfRule type="expression" dxfId="1536" priority="159">
      <formula>AND((ISNUMBER(SEARCH("I-MUAP",$D$14))),E131&lt;2500)</formula>
    </cfRule>
  </conditionalFormatting>
  <conditionalFormatting sqref="E136:E137">
    <cfRule type="expression" dxfId="1535" priority="142">
      <formula>$C136="SELECT WORKS"</formula>
    </cfRule>
  </conditionalFormatting>
  <conditionalFormatting sqref="E141:E142">
    <cfRule type="expression" dxfId="1534" priority="119">
      <formula>D141="KSA"</formula>
    </cfRule>
    <cfRule type="expression" dxfId="1533" priority="118">
      <formula>D141="FILTER TYPE"</formula>
    </cfRule>
    <cfRule type="expression" dxfId="1532" priority="120">
      <formula>(D133="CANOPY TYPE")</formula>
    </cfRule>
    <cfRule type="expression" dxfId="1531" priority="117">
      <formula>D141="WW PODS"</formula>
    </cfRule>
  </conditionalFormatting>
  <conditionalFormatting sqref="E143">
    <cfRule type="containsText" dxfId="1530" priority="152" operator="containsText" text="LONG ">
      <formula>NOT(ISERROR(SEARCH("LONG ",E143)))</formula>
    </cfRule>
  </conditionalFormatting>
  <conditionalFormatting sqref="E148">
    <cfRule type="cellIs" dxfId="1529" priority="105" operator="greaterThan">
      <formula>2000</formula>
    </cfRule>
    <cfRule type="expression" dxfId="1528" priority="103">
      <formula>AND((ISNUMBER(SEARCH("I-MUAP",$D$14))),E148&lt;2500)</formula>
    </cfRule>
    <cfRule type="expression" dxfId="1527" priority="104">
      <formula>ISNUMBER(SEARCH("I-MUAP",$D$14))</formula>
    </cfRule>
  </conditionalFormatting>
  <conditionalFormatting sqref="E153:E154">
    <cfRule type="expression" dxfId="1526" priority="86">
      <formula>$C153="SELECT WORKS"</formula>
    </cfRule>
  </conditionalFormatting>
  <conditionalFormatting sqref="E158:E159">
    <cfRule type="expression" dxfId="1525" priority="62">
      <formula>D158="FILTER TYPE"</formula>
    </cfRule>
    <cfRule type="expression" dxfId="1524" priority="63">
      <formula>D158="KSA"</formula>
    </cfRule>
    <cfRule type="expression" dxfId="1523" priority="61">
      <formula>D158="WW PODS"</formula>
    </cfRule>
    <cfRule type="expression" dxfId="1522" priority="64">
      <formula>(D150="CANOPY TYPE")</formula>
    </cfRule>
  </conditionalFormatting>
  <conditionalFormatting sqref="E160">
    <cfRule type="containsText" dxfId="1521" priority="96" operator="containsText" text="LONG ">
      <formula>NOT(ISERROR(SEARCH("LONG ",E160)))</formula>
    </cfRule>
  </conditionalFormatting>
  <conditionalFormatting sqref="E165">
    <cfRule type="expression" dxfId="1520" priority="47">
      <formula>AND((ISNUMBER(SEARCH("I-MUAP",$D$14))),E165&lt;2500)</formula>
    </cfRule>
    <cfRule type="expression" dxfId="1519" priority="48">
      <formula>ISNUMBER(SEARCH("I-MUAP",$D$14))</formula>
    </cfRule>
    <cfRule type="cellIs" dxfId="1518" priority="49" operator="greaterThan">
      <formula>2000</formula>
    </cfRule>
  </conditionalFormatting>
  <conditionalFormatting sqref="E170:E171">
    <cfRule type="expression" dxfId="1517" priority="30">
      <formula>$C170="SELECT WORKS"</formula>
    </cfRule>
  </conditionalFormatting>
  <conditionalFormatting sqref="E175:E176">
    <cfRule type="expression" dxfId="1516" priority="5">
      <formula>D175="WW PODS"</formula>
    </cfRule>
    <cfRule type="expression" dxfId="1515" priority="6">
      <formula>D175="FILTER TYPE"</formula>
    </cfRule>
    <cfRule type="expression" dxfId="1514" priority="7">
      <formula>D175="KSA"</formula>
    </cfRule>
    <cfRule type="expression" dxfId="1513" priority="8">
      <formula>(D167="CANOPY TYPE")</formula>
    </cfRule>
  </conditionalFormatting>
  <conditionalFormatting sqref="E177">
    <cfRule type="containsText" dxfId="1512" priority="40" operator="containsText" text="LONG ">
      <formula>NOT(ISERROR(SEARCH("LONG ",E177)))</formula>
    </cfRule>
  </conditionalFormatting>
  <conditionalFormatting sqref="E12:F12">
    <cfRule type="cellIs" dxfId="1511" priority="5602" operator="lessThan">
      <formula>1000</formula>
    </cfRule>
  </conditionalFormatting>
  <conditionalFormatting sqref="E14:F14">
    <cfRule type="cellIs" dxfId="1510" priority="5598" operator="lessThan">
      <formula>1000</formula>
    </cfRule>
  </conditionalFormatting>
  <conditionalFormatting sqref="E25:F27">
    <cfRule type="expression" dxfId="1509" priority="1240">
      <formula>($D$14="CANOPY TYPE")</formula>
    </cfRule>
  </conditionalFormatting>
  <conditionalFormatting sqref="E29:F29">
    <cfRule type="cellIs" dxfId="1508" priority="1189" operator="lessThan">
      <formula>1000</formula>
    </cfRule>
  </conditionalFormatting>
  <conditionalFormatting sqref="E31:F31">
    <cfRule type="cellIs" dxfId="1507" priority="1185" operator="lessThan">
      <formula>1000</formula>
    </cfRule>
  </conditionalFormatting>
  <conditionalFormatting sqref="E32:F32">
    <cfRule type="expression" dxfId="1506" priority="721">
      <formula>(C32="LIGHT SELECTION")</formula>
    </cfRule>
  </conditionalFormatting>
  <conditionalFormatting sqref="E42:F44">
    <cfRule type="expression" dxfId="1505" priority="1124">
      <formula>($D$14="CANOPY TYPE")</formula>
    </cfRule>
  </conditionalFormatting>
  <conditionalFormatting sqref="E46:F46">
    <cfRule type="cellIs" dxfId="1504" priority="1098" operator="lessThan">
      <formula>1000</formula>
    </cfRule>
  </conditionalFormatting>
  <conditionalFormatting sqref="E48:F48">
    <cfRule type="cellIs" dxfId="1503" priority="1094" operator="lessThan">
      <formula>1000</formula>
    </cfRule>
  </conditionalFormatting>
  <conditionalFormatting sqref="E59:F61">
    <cfRule type="expression" dxfId="1502" priority="1033">
      <formula>($D$14="CANOPY TYPE")</formula>
    </cfRule>
  </conditionalFormatting>
  <conditionalFormatting sqref="E63:F63">
    <cfRule type="cellIs" dxfId="1501" priority="1007" operator="lessThan">
      <formula>1000</formula>
    </cfRule>
  </conditionalFormatting>
  <conditionalFormatting sqref="E65:F65">
    <cfRule type="cellIs" dxfId="1500" priority="1003" operator="lessThan">
      <formula>1000</formula>
    </cfRule>
  </conditionalFormatting>
  <conditionalFormatting sqref="E66:F66">
    <cfRule type="expression" dxfId="1499" priority="687">
      <formula>(C66="LIGHT SELECTION")</formula>
    </cfRule>
  </conditionalFormatting>
  <conditionalFormatting sqref="E76:F78">
    <cfRule type="expression" dxfId="1498" priority="942">
      <formula>($D$14="CANOPY TYPE")</formula>
    </cfRule>
  </conditionalFormatting>
  <conditionalFormatting sqref="E80:F80">
    <cfRule type="cellIs" dxfId="1497" priority="916" operator="lessThan">
      <formula>1000</formula>
    </cfRule>
  </conditionalFormatting>
  <conditionalFormatting sqref="E82:F82">
    <cfRule type="cellIs" dxfId="1496" priority="912" operator="lessThan">
      <formula>1000</formula>
    </cfRule>
  </conditionalFormatting>
  <conditionalFormatting sqref="E83:F83">
    <cfRule type="expression" dxfId="1495" priority="670">
      <formula>(C83="LIGHT SELECTION")</formula>
    </cfRule>
  </conditionalFormatting>
  <conditionalFormatting sqref="E93:F95">
    <cfRule type="expression" dxfId="1494" priority="851">
      <formula>($D$14="CANOPY TYPE")</formula>
    </cfRule>
  </conditionalFormatting>
  <conditionalFormatting sqref="E97:F97">
    <cfRule type="cellIs" dxfId="1493" priority="825" operator="lessThan">
      <formula>1000</formula>
    </cfRule>
  </conditionalFormatting>
  <conditionalFormatting sqref="E99:F99">
    <cfRule type="cellIs" dxfId="1492" priority="821" operator="lessThan">
      <formula>1000</formula>
    </cfRule>
  </conditionalFormatting>
  <conditionalFormatting sqref="E100:F100">
    <cfRule type="expression" dxfId="1491" priority="653">
      <formula>(C100="LIGHT SELECTION")</formula>
    </cfRule>
  </conditionalFormatting>
  <conditionalFormatting sqref="E110:F112 E127:F129 E144:F146 E161:F163 E178:F180">
    <cfRule type="expression" dxfId="1490" priority="760">
      <formula>($D$14="CANOPY TYPE")</formula>
    </cfRule>
  </conditionalFormatting>
  <conditionalFormatting sqref="E114:F114">
    <cfRule type="cellIs" dxfId="1489" priority="232" operator="lessThan">
      <formula>1000</formula>
    </cfRule>
  </conditionalFormatting>
  <conditionalFormatting sqref="E116:F116">
    <cfRule type="cellIs" dxfId="1488" priority="229" operator="lessThan">
      <formula>1000</formula>
    </cfRule>
  </conditionalFormatting>
  <conditionalFormatting sqref="E117:F117">
    <cfRule type="expression" dxfId="1487" priority="207">
      <formula>(C117="LIGHT SELECTION")</formula>
    </cfRule>
  </conditionalFormatting>
  <conditionalFormatting sqref="E131:F131">
    <cfRule type="cellIs" dxfId="1486" priority="156" operator="lessThan">
      <formula>1000</formula>
    </cfRule>
  </conditionalFormatting>
  <conditionalFormatting sqref="E133:F133">
    <cfRule type="cellIs" dxfId="1485" priority="153" operator="lessThan">
      <formula>1000</formula>
    </cfRule>
  </conditionalFormatting>
  <conditionalFormatting sqref="E134:F134">
    <cfRule type="expression" dxfId="1484" priority="135">
      <formula>(C134="LIGHT SELECTION")</formula>
    </cfRule>
  </conditionalFormatting>
  <conditionalFormatting sqref="E148:F148">
    <cfRule type="cellIs" dxfId="1483" priority="100" operator="lessThan">
      <formula>1000</formula>
    </cfRule>
  </conditionalFormatting>
  <conditionalFormatting sqref="E150:F150">
    <cfRule type="cellIs" dxfId="1482" priority="97" operator="lessThan">
      <formula>1000</formula>
    </cfRule>
  </conditionalFormatting>
  <conditionalFormatting sqref="E151:F151">
    <cfRule type="expression" dxfId="1481" priority="79">
      <formula>(C151="LIGHT SELECTION")</formula>
    </cfRule>
  </conditionalFormatting>
  <conditionalFormatting sqref="E165:F165">
    <cfRule type="cellIs" dxfId="1480" priority="44" operator="lessThan">
      <formula>1000</formula>
    </cfRule>
  </conditionalFormatting>
  <conditionalFormatting sqref="E167:F167">
    <cfRule type="cellIs" dxfId="1479" priority="41" operator="lessThan">
      <formula>1000</formula>
    </cfRule>
  </conditionalFormatting>
  <conditionalFormatting sqref="E168:F168">
    <cfRule type="expression" dxfId="1478" priority="23">
      <formula>(C168="LIGHT SELECTION")</formula>
    </cfRule>
  </conditionalFormatting>
  <conditionalFormatting sqref="F12">
    <cfRule type="cellIs" dxfId="1477" priority="5603" operator="greaterThan">
      <formula>3001</formula>
    </cfRule>
  </conditionalFormatting>
  <conditionalFormatting sqref="F15">
    <cfRule type="expression" dxfId="1476" priority="723">
      <formula>(C15="LED STRIP")</formula>
    </cfRule>
    <cfRule type="expression" dxfId="1475" priority="5590">
      <formula>(C15="FLO")</formula>
    </cfRule>
    <cfRule type="expression" dxfId="1474" priority="5583">
      <formula>(C15="LIGHT SELECTION")</formula>
    </cfRule>
    <cfRule type="expression" dxfId="1473" priority="5634">
      <formula>(D49="LIGHT SELECTION")</formula>
    </cfRule>
  </conditionalFormatting>
  <conditionalFormatting sqref="F22:F23">
    <cfRule type="expression" dxfId="1472" priority="5628">
      <formula>D22="KSA"</formula>
    </cfRule>
    <cfRule type="expression" dxfId="1471" priority="5625">
      <formula>(((I14*3600)/(C22*I11))^2+20)&gt;300</formula>
    </cfRule>
    <cfRule type="expression" dxfId="1470" priority="5621">
      <formula>D22="WW PODS"</formula>
    </cfRule>
    <cfRule type="expression" dxfId="1469" priority="5620">
      <formula>D22="NF"</formula>
    </cfRule>
    <cfRule type="expression" dxfId="1468" priority="5627">
      <formula>(((I14*3600)/(C22*I11))^2+20)&gt;180</formula>
    </cfRule>
    <cfRule type="expression" dxfId="1467" priority="5626" stopIfTrue="1">
      <formula>(ISNUMBER(SEARCH("UV",D14)))</formula>
    </cfRule>
    <cfRule type="expression" dxfId="1466" priority="5624" stopIfTrue="1">
      <formula>D14="canopy type"</formula>
    </cfRule>
    <cfRule type="expression" dxfId="1465" priority="5622">
      <formula>D22="GRILLE"</formula>
    </cfRule>
    <cfRule type="expression" dxfId="1464" priority="5623">
      <formula>D22="CENTREX"</formula>
    </cfRule>
  </conditionalFormatting>
  <conditionalFormatting sqref="F24">
    <cfRule type="cellIs" dxfId="1463" priority="5596" operator="lessThan">
      <formula>2100</formula>
    </cfRule>
  </conditionalFormatting>
  <conditionalFormatting sqref="F29">
    <cfRule type="cellIs" dxfId="1462" priority="1190" operator="greaterThan">
      <formula>3001</formula>
    </cfRule>
  </conditionalFormatting>
  <conditionalFormatting sqref="F32">
    <cfRule type="expression" dxfId="1461" priority="722">
      <formula>(C32="FLO")</formula>
    </cfRule>
    <cfRule type="expression" dxfId="1460" priority="720">
      <formula>(C32="LIGHT SELECTION")</formula>
    </cfRule>
    <cfRule type="expression" dxfId="1459" priority="706">
      <formula>(C32="LED STRIP")</formula>
    </cfRule>
  </conditionalFormatting>
  <conditionalFormatting sqref="F39:F40">
    <cfRule type="expression" dxfId="1458" priority="382">
      <formula>(((I31*3600)/(C39*I28))^2+20)&gt;300</formula>
    </cfRule>
    <cfRule type="expression" dxfId="1457" priority="381" stopIfTrue="1">
      <formula>D31="canopy type"</formula>
    </cfRule>
    <cfRule type="expression" dxfId="1456" priority="380">
      <formula>D39="CENTREX"</formula>
    </cfRule>
    <cfRule type="expression" dxfId="1455" priority="379">
      <formula>D39="GRILLE"</formula>
    </cfRule>
    <cfRule type="expression" dxfId="1454" priority="378">
      <formula>D39="WW PODS"</formula>
    </cfRule>
    <cfRule type="expression" dxfId="1453" priority="377">
      <formula>D39="NF"</formula>
    </cfRule>
    <cfRule type="expression" dxfId="1452" priority="384">
      <formula>(((I31*3600)/(C39*I28))^2+20)&gt;180</formula>
    </cfRule>
    <cfRule type="expression" dxfId="1451" priority="383" stopIfTrue="1">
      <formula>(ISNUMBER(SEARCH("UV",D31)))</formula>
    </cfRule>
    <cfRule type="expression" dxfId="1450" priority="385">
      <formula>D39="KSA"</formula>
    </cfRule>
  </conditionalFormatting>
  <conditionalFormatting sqref="F41">
    <cfRule type="cellIs" dxfId="1449" priority="1183" operator="lessThan">
      <formula>2100</formula>
    </cfRule>
  </conditionalFormatting>
  <conditionalFormatting sqref="F46">
    <cfRule type="cellIs" dxfId="1448" priority="1099" operator="greaterThan">
      <formula>3001</formula>
    </cfRule>
  </conditionalFormatting>
  <conditionalFormatting sqref="F49">
    <cfRule type="expression" dxfId="1447" priority="5653">
      <formula>(#REF!="LIGHT SELECTION")</formula>
    </cfRule>
    <cfRule type="expression" dxfId="1446" priority="705">
      <formula>(C49="FLO")</formula>
    </cfRule>
    <cfRule type="expression" dxfId="1445" priority="703">
      <formula>(C49="LIGHT SELECTION")</formula>
    </cfRule>
    <cfRule type="expression" dxfId="1444" priority="689">
      <formula>(C49="LED STRIP")</formula>
    </cfRule>
  </conditionalFormatting>
  <conditionalFormatting sqref="F56:F57">
    <cfRule type="expression" dxfId="1443" priority="351">
      <formula>D56="NF"</formula>
    </cfRule>
    <cfRule type="expression" dxfId="1442" priority="358">
      <formula>(((I48*3600)/(C56*I45))^2+20)&gt;180</formula>
    </cfRule>
    <cfRule type="expression" dxfId="1441" priority="355" stopIfTrue="1">
      <formula>D48="canopy type"</formula>
    </cfRule>
    <cfRule type="expression" dxfId="1440" priority="354">
      <formula>D56="CENTREX"</formula>
    </cfRule>
    <cfRule type="expression" dxfId="1439" priority="353">
      <formula>D56="GRILLE"</formula>
    </cfRule>
    <cfRule type="expression" dxfId="1438" priority="357" stopIfTrue="1">
      <formula>(ISNUMBER(SEARCH("UV",D48)))</formula>
    </cfRule>
    <cfRule type="expression" dxfId="1437" priority="359">
      <formula>D56="KSA"</formula>
    </cfRule>
    <cfRule type="expression" dxfId="1436" priority="356">
      <formula>(((I48*3600)/(C56*I45))^2+20)&gt;300</formula>
    </cfRule>
    <cfRule type="expression" dxfId="1435" priority="352">
      <formula>D56="WW PODS"</formula>
    </cfRule>
  </conditionalFormatting>
  <conditionalFormatting sqref="F58">
    <cfRule type="cellIs" dxfId="1434" priority="1092" operator="lessThan">
      <formula>2100</formula>
    </cfRule>
  </conditionalFormatting>
  <conditionalFormatting sqref="F63">
    <cfRule type="cellIs" dxfId="1433" priority="1008" operator="greaterThan">
      <formula>3001</formula>
    </cfRule>
  </conditionalFormatting>
  <conditionalFormatting sqref="F66">
    <cfRule type="expression" dxfId="1432" priority="672">
      <formula>(C66="LED STRIP")</formula>
    </cfRule>
    <cfRule type="expression" dxfId="1431" priority="686">
      <formula>(C66="LIGHT SELECTION")</formula>
    </cfRule>
    <cfRule type="expression" dxfId="1430" priority="688">
      <formula>(C66="FLO")</formula>
    </cfRule>
  </conditionalFormatting>
  <conditionalFormatting sqref="F73:F74">
    <cfRule type="expression" dxfId="1429" priority="325">
      <formula>D73="NF"</formula>
    </cfRule>
    <cfRule type="expression" dxfId="1428" priority="326">
      <formula>D73="WW PODS"</formula>
    </cfRule>
    <cfRule type="expression" dxfId="1427" priority="327">
      <formula>D73="GRILLE"</formula>
    </cfRule>
    <cfRule type="expression" dxfId="1426" priority="328">
      <formula>D73="CENTREX"</formula>
    </cfRule>
    <cfRule type="expression" dxfId="1425" priority="329" stopIfTrue="1">
      <formula>D65="canopy type"</formula>
    </cfRule>
    <cfRule type="expression" dxfId="1424" priority="330">
      <formula>(((I65*3600)/(C73*I62))^2+20)&gt;300</formula>
    </cfRule>
    <cfRule type="expression" dxfId="1423" priority="331" stopIfTrue="1">
      <formula>(ISNUMBER(SEARCH("UV",D65)))</formula>
    </cfRule>
    <cfRule type="expression" dxfId="1422" priority="332">
      <formula>(((I65*3600)/(C73*I62))^2+20)&gt;180</formula>
    </cfRule>
    <cfRule type="expression" dxfId="1421" priority="333">
      <formula>D73="KSA"</formula>
    </cfRule>
  </conditionalFormatting>
  <conditionalFormatting sqref="F75">
    <cfRule type="cellIs" dxfId="1420" priority="1001" operator="lessThan">
      <formula>2100</formula>
    </cfRule>
  </conditionalFormatting>
  <conditionalFormatting sqref="F80">
    <cfRule type="cellIs" dxfId="1419" priority="917" operator="greaterThan">
      <formula>3001</formula>
    </cfRule>
  </conditionalFormatting>
  <conditionalFormatting sqref="F83">
    <cfRule type="expression" dxfId="1418" priority="655">
      <formula>(C83="LED STRIP")</formula>
    </cfRule>
    <cfRule type="expression" dxfId="1417" priority="671">
      <formula>(C83="FLO")</formula>
    </cfRule>
    <cfRule type="expression" dxfId="1416" priority="669">
      <formula>(C83="LIGHT SELECTION")</formula>
    </cfRule>
  </conditionalFormatting>
  <conditionalFormatting sqref="F90:F91">
    <cfRule type="expression" dxfId="1415" priority="307">
      <formula>D90="KSA"</formula>
    </cfRule>
    <cfRule type="expression" dxfId="1414" priority="305" stopIfTrue="1">
      <formula>(ISNUMBER(SEARCH("UV",D82)))</formula>
    </cfRule>
    <cfRule type="expression" dxfId="1413" priority="304">
      <formula>(((I82*3600)/(C90*I79))^2+20)&gt;300</formula>
    </cfRule>
    <cfRule type="expression" dxfId="1412" priority="303" stopIfTrue="1">
      <formula>D82="canopy type"</formula>
    </cfRule>
    <cfRule type="expression" dxfId="1411" priority="299">
      <formula>D90="NF"</formula>
    </cfRule>
    <cfRule type="expression" dxfId="1410" priority="300">
      <formula>D90="WW PODS"</formula>
    </cfRule>
    <cfRule type="expression" dxfId="1409" priority="301">
      <formula>D90="GRILLE"</formula>
    </cfRule>
    <cfRule type="expression" dxfId="1408" priority="302">
      <formula>D90="CENTREX"</formula>
    </cfRule>
    <cfRule type="expression" dxfId="1407" priority="306">
      <formula>(((I82*3600)/(C90*I79))^2+20)&gt;180</formula>
    </cfRule>
  </conditionalFormatting>
  <conditionalFormatting sqref="F92">
    <cfRule type="cellIs" dxfId="1406" priority="910" operator="lessThan">
      <formula>2100</formula>
    </cfRule>
  </conditionalFormatting>
  <conditionalFormatting sqref="F97">
    <cfRule type="cellIs" dxfId="1405" priority="826" operator="greaterThan">
      <formula>3001</formula>
    </cfRule>
  </conditionalFormatting>
  <conditionalFormatting sqref="F100">
    <cfRule type="expression" dxfId="1404" priority="652">
      <formula>(C100="LIGHT SELECTION")</formula>
    </cfRule>
    <cfRule type="expression" dxfId="1403" priority="638">
      <formula>(C100="LED STRIP")</formula>
    </cfRule>
    <cfRule type="expression" dxfId="1402" priority="654">
      <formula>(C100="FLO")</formula>
    </cfRule>
  </conditionalFormatting>
  <conditionalFormatting sqref="F107:F108">
    <cfRule type="expression" dxfId="1401" priority="278">
      <formula>(((I99*3600)/(C107*I96))^2+20)&gt;300</formula>
    </cfRule>
    <cfRule type="expression" dxfId="1400" priority="277" stopIfTrue="1">
      <formula>D99="canopy type"</formula>
    </cfRule>
    <cfRule type="expression" dxfId="1399" priority="279" stopIfTrue="1">
      <formula>(ISNUMBER(SEARCH("UV",D99)))</formula>
    </cfRule>
    <cfRule type="expression" dxfId="1398" priority="280">
      <formula>(((I99*3600)/(C107*I96))^2+20)&gt;180</formula>
    </cfRule>
    <cfRule type="expression" dxfId="1397" priority="281">
      <formula>D107="KSA"</formula>
    </cfRule>
    <cfRule type="expression" dxfId="1396" priority="276">
      <formula>D107="CENTREX"</formula>
    </cfRule>
    <cfRule type="expression" dxfId="1395" priority="275">
      <formula>D107="GRILLE"</formula>
    </cfRule>
    <cfRule type="expression" dxfId="1394" priority="274">
      <formula>D107="WW PODS"</formula>
    </cfRule>
    <cfRule type="expression" dxfId="1393" priority="273">
      <formula>D107="NF"</formula>
    </cfRule>
  </conditionalFormatting>
  <conditionalFormatting sqref="F109">
    <cfRule type="cellIs" dxfId="1392" priority="819" operator="lessThan">
      <formula>2100</formula>
    </cfRule>
  </conditionalFormatting>
  <conditionalFormatting sqref="F114">
    <cfRule type="cellIs" dxfId="1391" priority="233" operator="greaterThan">
      <formula>3001</formula>
    </cfRule>
  </conditionalFormatting>
  <conditionalFormatting sqref="F117">
    <cfRule type="expression" dxfId="1390" priority="204">
      <formula>(C117="LED STRIP")</formula>
    </cfRule>
    <cfRule type="expression" dxfId="1389" priority="206">
      <formula>(C117="LIGHT SELECTION")</formula>
    </cfRule>
    <cfRule type="expression" dxfId="1388" priority="208">
      <formula>(C117="FLO")</formula>
    </cfRule>
  </conditionalFormatting>
  <conditionalFormatting sqref="F124:F125">
    <cfRule type="expression" dxfId="1387" priority="191">
      <formula>D124="NF"</formula>
    </cfRule>
    <cfRule type="expression" dxfId="1386" priority="192">
      <formula>D124="WW PODS"</formula>
    </cfRule>
    <cfRule type="expression" dxfId="1385" priority="193">
      <formula>D124="GRILLE"</formula>
    </cfRule>
    <cfRule type="expression" dxfId="1384" priority="194">
      <formula>D124="CENTREX"</formula>
    </cfRule>
    <cfRule type="expression" dxfId="1383" priority="195" stopIfTrue="1">
      <formula>D116="canopy type"</formula>
    </cfRule>
    <cfRule type="expression" dxfId="1382" priority="196">
      <formula>(((I116*3600)/(C124*I113))^2+20)&gt;300</formula>
    </cfRule>
    <cfRule type="expression" dxfId="1381" priority="197" stopIfTrue="1">
      <formula>(ISNUMBER(SEARCH("UV",D116)))</formula>
    </cfRule>
    <cfRule type="expression" dxfId="1380" priority="198">
      <formula>(((I116*3600)/(C124*I113))^2+20)&gt;180</formula>
    </cfRule>
    <cfRule type="expression" dxfId="1379" priority="199">
      <formula>D124="KSA"</formula>
    </cfRule>
  </conditionalFormatting>
  <conditionalFormatting sqref="F126">
    <cfRule type="cellIs" dxfId="1378" priority="227" operator="lessThan">
      <formula>2100</formula>
    </cfRule>
  </conditionalFormatting>
  <conditionalFormatting sqref="F131">
    <cfRule type="cellIs" dxfId="1377" priority="157" operator="greaterThan">
      <formula>3001</formula>
    </cfRule>
  </conditionalFormatting>
  <conditionalFormatting sqref="F134">
    <cfRule type="expression" dxfId="1376" priority="133">
      <formula>(C134="LED STRIP")</formula>
    </cfRule>
    <cfRule type="expression" dxfId="1375" priority="134">
      <formula>(C134="LIGHT SELECTION")</formula>
    </cfRule>
    <cfRule type="expression" dxfId="1374" priority="136">
      <formula>(C134="FLO")</formula>
    </cfRule>
  </conditionalFormatting>
  <conditionalFormatting sqref="F141:F142">
    <cfRule type="expression" dxfId="1373" priority="123">
      <formula>D141="GRILLE"</formula>
    </cfRule>
    <cfRule type="expression" dxfId="1372" priority="122">
      <formula>D141="WW PODS"</formula>
    </cfRule>
    <cfRule type="expression" dxfId="1371" priority="124">
      <formula>D141="CENTREX"</formula>
    </cfRule>
    <cfRule type="expression" dxfId="1370" priority="121">
      <formula>D141="NF"</formula>
    </cfRule>
    <cfRule type="expression" dxfId="1369" priority="125" stopIfTrue="1">
      <formula>D133="canopy type"</formula>
    </cfRule>
    <cfRule type="expression" dxfId="1368" priority="126">
      <formula>(((I133*3600)/(C141*I130))^2+20)&gt;300</formula>
    </cfRule>
    <cfRule type="expression" dxfId="1367" priority="127" stopIfTrue="1">
      <formula>(ISNUMBER(SEARCH("UV",D133)))</formula>
    </cfRule>
    <cfRule type="expression" dxfId="1366" priority="128">
      <formula>(((I133*3600)/(C141*I130))^2+20)&gt;180</formula>
    </cfRule>
    <cfRule type="expression" dxfId="1365" priority="129">
      <formula>D141="KSA"</formula>
    </cfRule>
  </conditionalFormatting>
  <conditionalFormatting sqref="F143">
    <cfRule type="cellIs" dxfId="1364" priority="151" operator="lessThan">
      <formula>2100</formula>
    </cfRule>
  </conditionalFormatting>
  <conditionalFormatting sqref="F148">
    <cfRule type="cellIs" dxfId="1363" priority="101" operator="greaterThan">
      <formula>3001</formula>
    </cfRule>
  </conditionalFormatting>
  <conditionalFormatting sqref="F151">
    <cfRule type="expression" dxfId="1362" priority="80">
      <formula>(C151="FLO")</formula>
    </cfRule>
    <cfRule type="expression" dxfId="1361" priority="78">
      <formula>(C151="LIGHT SELECTION")</formula>
    </cfRule>
    <cfRule type="expression" dxfId="1360" priority="77">
      <formula>(C151="LED STRIP")</formula>
    </cfRule>
  </conditionalFormatting>
  <conditionalFormatting sqref="F158:F159">
    <cfRule type="expression" dxfId="1359" priority="71" stopIfTrue="1">
      <formula>(ISNUMBER(SEARCH("UV",D150)))</formula>
    </cfRule>
    <cfRule type="expression" dxfId="1358" priority="65">
      <formula>D158="NF"</formula>
    </cfRule>
    <cfRule type="expression" dxfId="1357" priority="72">
      <formula>(((I150*3600)/(C158*I147))^2+20)&gt;180</formula>
    </cfRule>
    <cfRule type="expression" dxfId="1356" priority="66">
      <formula>D158="WW PODS"</formula>
    </cfRule>
    <cfRule type="expression" dxfId="1355" priority="73">
      <formula>D158="KSA"</formula>
    </cfRule>
    <cfRule type="expression" dxfId="1354" priority="69" stopIfTrue="1">
      <formula>D150="canopy type"</formula>
    </cfRule>
    <cfRule type="expression" dxfId="1353" priority="68">
      <formula>D158="CENTREX"</formula>
    </cfRule>
    <cfRule type="expression" dxfId="1352" priority="67">
      <formula>D158="GRILLE"</formula>
    </cfRule>
    <cfRule type="expression" dxfId="1351" priority="70">
      <formula>(((I150*3600)/(C158*I147))^2+20)&gt;300</formula>
    </cfRule>
  </conditionalFormatting>
  <conditionalFormatting sqref="F160">
    <cfRule type="cellIs" dxfId="1350" priority="95" operator="lessThan">
      <formula>2100</formula>
    </cfRule>
  </conditionalFormatting>
  <conditionalFormatting sqref="F165">
    <cfRule type="cellIs" dxfId="1349" priority="45" operator="greaterThan">
      <formula>3001</formula>
    </cfRule>
  </conditionalFormatting>
  <conditionalFormatting sqref="F168">
    <cfRule type="expression" dxfId="1348" priority="21">
      <formula>(C168="LED STRIP")</formula>
    </cfRule>
    <cfRule type="expression" dxfId="1347" priority="24">
      <formula>(C168="FLO")</formula>
    </cfRule>
    <cfRule type="expression" dxfId="1346" priority="22">
      <formula>(C168="LIGHT SELECTION")</formula>
    </cfRule>
  </conditionalFormatting>
  <conditionalFormatting sqref="F175:F176">
    <cfRule type="expression" dxfId="1345" priority="9">
      <formula>D175="NF"</formula>
    </cfRule>
    <cfRule type="expression" dxfId="1344" priority="10">
      <formula>D175="WW PODS"</formula>
    </cfRule>
    <cfRule type="expression" dxfId="1343" priority="17">
      <formula>D175="KSA"</formula>
    </cfRule>
    <cfRule type="expression" dxfId="1342" priority="11">
      <formula>D175="GRILLE"</formula>
    </cfRule>
    <cfRule type="expression" dxfId="1341" priority="12">
      <formula>D175="CENTREX"</formula>
    </cfRule>
    <cfRule type="expression" dxfId="1340" priority="16">
      <formula>(((I167*3600)/(C175*I164))^2+20)&gt;180</formula>
    </cfRule>
    <cfRule type="expression" dxfId="1339" priority="13" stopIfTrue="1">
      <formula>D167="canopy type"</formula>
    </cfRule>
    <cfRule type="expression" dxfId="1338" priority="14">
      <formula>(((I167*3600)/(C175*I164))^2+20)&gt;300</formula>
    </cfRule>
    <cfRule type="expression" dxfId="1337" priority="15" stopIfTrue="1">
      <formula>(ISNUMBER(SEARCH("UV",D167)))</formula>
    </cfRule>
  </conditionalFormatting>
  <conditionalFormatting sqref="F177">
    <cfRule type="cellIs" dxfId="1336" priority="39" operator="lessThan">
      <formula>2100</formula>
    </cfRule>
  </conditionalFormatting>
  <conditionalFormatting sqref="G11">
    <cfRule type="expression" dxfId="1335" priority="5605">
      <formula>((F14-50)/H14)&lt;950</formula>
    </cfRule>
  </conditionalFormatting>
  <conditionalFormatting sqref="G12">
    <cfRule type="expression" dxfId="1334" priority="5604">
      <formula>((F14-50)/H14)&lt;950</formula>
    </cfRule>
  </conditionalFormatting>
  <conditionalFormatting sqref="G14">
    <cfRule type="cellIs" dxfId="1333" priority="5600" operator="lessThan">
      <formula>400</formula>
    </cfRule>
  </conditionalFormatting>
  <conditionalFormatting sqref="G28">
    <cfRule type="expression" dxfId="1332" priority="2387">
      <formula>((F31-50)/H31)&lt;950</formula>
    </cfRule>
  </conditionalFormatting>
  <conditionalFormatting sqref="G29">
    <cfRule type="expression" dxfId="1331" priority="1191">
      <formula>((F31-50)/H31)&lt;950</formula>
    </cfRule>
  </conditionalFormatting>
  <conditionalFormatting sqref="G31">
    <cfRule type="cellIs" dxfId="1330" priority="1187" operator="lessThan">
      <formula>400</formula>
    </cfRule>
  </conditionalFormatting>
  <conditionalFormatting sqref="G45">
    <cfRule type="expression" dxfId="1329" priority="4984">
      <formula>((F48-50)/H48)&lt;950</formula>
    </cfRule>
  </conditionalFormatting>
  <conditionalFormatting sqref="G46">
    <cfRule type="expression" dxfId="1328" priority="1100">
      <formula>((F48-50)/H48)&lt;950</formula>
    </cfRule>
  </conditionalFormatting>
  <conditionalFormatting sqref="G48">
    <cfRule type="cellIs" dxfId="1327" priority="1096" operator="lessThan">
      <formula>400</formula>
    </cfRule>
  </conditionalFormatting>
  <conditionalFormatting sqref="G62">
    <cfRule type="expression" dxfId="1326" priority="5064">
      <formula>((F65-50)/H65)&lt;950</formula>
    </cfRule>
  </conditionalFormatting>
  <conditionalFormatting sqref="G63">
    <cfRule type="expression" dxfId="1325" priority="1009">
      <formula>((F65-50)/H65)&lt;950</formula>
    </cfRule>
  </conditionalFormatting>
  <conditionalFormatting sqref="G65">
    <cfRule type="cellIs" dxfId="1324" priority="1005" operator="lessThan">
      <formula>400</formula>
    </cfRule>
  </conditionalFormatting>
  <conditionalFormatting sqref="G79">
    <cfRule type="expression" dxfId="1323" priority="5144">
      <formula>((F82-50)/H82)&lt;950</formula>
    </cfRule>
  </conditionalFormatting>
  <conditionalFormatting sqref="G80">
    <cfRule type="expression" dxfId="1322" priority="918">
      <formula>((F82-50)/H82)&lt;950</formula>
    </cfRule>
  </conditionalFormatting>
  <conditionalFormatting sqref="G82">
    <cfRule type="cellIs" dxfId="1321" priority="914" operator="lessThan">
      <formula>400</formula>
    </cfRule>
  </conditionalFormatting>
  <conditionalFormatting sqref="G96">
    <cfRule type="expression" dxfId="1320" priority="5497">
      <formula>((F99-50)/H99)&lt;950</formula>
    </cfRule>
  </conditionalFormatting>
  <conditionalFormatting sqref="G97">
    <cfRule type="expression" dxfId="1319" priority="827">
      <formula>((F99-50)/H99)&lt;950</formula>
    </cfRule>
  </conditionalFormatting>
  <conditionalFormatting sqref="G99">
    <cfRule type="cellIs" dxfId="1318" priority="823" operator="lessThan">
      <formula>400</formula>
    </cfRule>
  </conditionalFormatting>
  <conditionalFormatting sqref="G113">
    <cfRule type="expression" dxfId="1317" priority="255">
      <formula>((F116-50)/H116)&lt;950</formula>
    </cfRule>
  </conditionalFormatting>
  <conditionalFormatting sqref="G114">
    <cfRule type="expression" dxfId="1316" priority="234">
      <formula>((F116-50)/H116)&lt;950</formula>
    </cfRule>
  </conditionalFormatting>
  <conditionalFormatting sqref="G116">
    <cfRule type="cellIs" dxfId="1315" priority="230" operator="lessThan">
      <formula>400</formula>
    </cfRule>
  </conditionalFormatting>
  <conditionalFormatting sqref="G130">
    <cfRule type="expression" dxfId="1314" priority="169">
      <formula>((F133-50)/H133)&lt;950</formula>
    </cfRule>
  </conditionalFormatting>
  <conditionalFormatting sqref="G131">
    <cfRule type="expression" dxfId="1313" priority="158">
      <formula>((F133-50)/H133)&lt;950</formula>
    </cfRule>
  </conditionalFormatting>
  <conditionalFormatting sqref="G133">
    <cfRule type="cellIs" dxfId="1312" priority="154" operator="lessThan">
      <formula>400</formula>
    </cfRule>
  </conditionalFormatting>
  <conditionalFormatting sqref="G147">
    <cfRule type="expression" dxfId="1311" priority="113">
      <formula>((F150-50)/H150)&lt;950</formula>
    </cfRule>
  </conditionalFormatting>
  <conditionalFormatting sqref="G148">
    <cfRule type="expression" dxfId="1310" priority="102">
      <formula>((F150-50)/H150)&lt;950</formula>
    </cfRule>
  </conditionalFormatting>
  <conditionalFormatting sqref="G150">
    <cfRule type="cellIs" dxfId="1309" priority="98" operator="lessThan">
      <formula>400</formula>
    </cfRule>
  </conditionalFormatting>
  <conditionalFormatting sqref="G164">
    <cfRule type="expression" dxfId="1308" priority="57">
      <formula>((F167-50)/H167)&lt;950</formula>
    </cfRule>
  </conditionalFormatting>
  <conditionalFormatting sqref="G165">
    <cfRule type="expression" dxfId="1307" priority="46">
      <formula>((F167-50)/H167)&lt;950</formula>
    </cfRule>
  </conditionalFormatting>
  <conditionalFormatting sqref="G167">
    <cfRule type="cellIs" dxfId="1306" priority="42" operator="lessThan">
      <formula>400</formula>
    </cfRule>
  </conditionalFormatting>
  <conditionalFormatting sqref="I14">
    <cfRule type="cellIs" dxfId="1305" priority="5601" operator="lessThan">
      <formula>0.1</formula>
    </cfRule>
  </conditionalFormatting>
  <conditionalFormatting sqref="I31">
    <cfRule type="cellIs" dxfId="1304" priority="1188" operator="lessThan">
      <formula>0.1</formula>
    </cfRule>
  </conditionalFormatting>
  <conditionalFormatting sqref="I48">
    <cfRule type="cellIs" dxfId="1303" priority="1097" operator="lessThan">
      <formula>0.1</formula>
    </cfRule>
  </conditionalFormatting>
  <conditionalFormatting sqref="I65">
    <cfRule type="cellIs" dxfId="1302" priority="1006" operator="lessThan">
      <formula>0.1</formula>
    </cfRule>
  </conditionalFormatting>
  <conditionalFormatting sqref="I82">
    <cfRule type="cellIs" dxfId="1301" priority="915" operator="lessThan">
      <formula>0.1</formula>
    </cfRule>
  </conditionalFormatting>
  <conditionalFormatting sqref="I99">
    <cfRule type="cellIs" dxfId="1300" priority="824" operator="lessThan">
      <formula>0.1</formula>
    </cfRule>
  </conditionalFormatting>
  <conditionalFormatting sqref="I116">
    <cfRule type="cellIs" dxfId="1299" priority="231" operator="lessThan">
      <formula>0.1</formula>
    </cfRule>
  </conditionalFormatting>
  <conditionalFormatting sqref="I133">
    <cfRule type="cellIs" dxfId="1298" priority="155" operator="lessThan">
      <formula>0.1</formula>
    </cfRule>
  </conditionalFormatting>
  <conditionalFormatting sqref="I150">
    <cfRule type="cellIs" dxfId="1297" priority="99" operator="lessThan">
      <formula>0.1</formula>
    </cfRule>
  </conditionalFormatting>
  <conditionalFormatting sqref="I167">
    <cfRule type="cellIs" dxfId="1296" priority="43" operator="lessThan">
      <formula>0.1</formula>
    </cfRule>
  </conditionalFormatting>
  <conditionalFormatting sqref="J14:J27">
    <cfRule type="cellIs" dxfId="1295" priority="391" operator="greaterThan">
      <formula>0</formula>
    </cfRule>
  </conditionalFormatting>
  <conditionalFormatting sqref="J31:J44">
    <cfRule type="cellIs" dxfId="1294" priority="361" operator="greaterThan">
      <formula>0</formula>
    </cfRule>
  </conditionalFormatting>
  <conditionalFormatting sqref="J48:J61">
    <cfRule type="cellIs" dxfId="1293" priority="335" operator="greaterThan">
      <formula>0</formula>
    </cfRule>
  </conditionalFormatting>
  <conditionalFormatting sqref="J65:J78">
    <cfRule type="cellIs" dxfId="1292" priority="309" operator="greaterThan">
      <formula>0</formula>
    </cfRule>
  </conditionalFormatting>
  <conditionalFormatting sqref="J82:J95">
    <cfRule type="cellIs" dxfId="1291" priority="283" operator="greaterThan">
      <formula>0</formula>
    </cfRule>
  </conditionalFormatting>
  <conditionalFormatting sqref="J99:J112">
    <cfRule type="cellIs" dxfId="1290" priority="257" operator="greaterThan">
      <formula>0</formula>
    </cfRule>
  </conditionalFormatting>
  <conditionalFormatting sqref="J116:J129 J133:J146 J150:J163 J167:J180">
    <cfRule type="cellIs" dxfId="1289" priority="175" operator="greaterThan">
      <formula>0</formula>
    </cfRule>
  </conditionalFormatting>
  <conditionalFormatting sqref="J183:J197">
    <cfRule type="expression" dxfId="1288" priority="170">
      <formula>C183&gt;0</formula>
    </cfRule>
  </conditionalFormatting>
  <conditionalFormatting sqref="J199">
    <cfRule type="expression" dxfId="1287" priority="5505">
      <formula>#REF!="EURO"</formula>
    </cfRule>
  </conditionalFormatting>
  <conditionalFormatting sqref="K14:K27">
    <cfRule type="cellIs" dxfId="1286" priority="475" operator="greaterThan">
      <formula>0</formula>
    </cfRule>
  </conditionalFormatting>
  <conditionalFormatting sqref="K31:K44">
    <cfRule type="cellIs" dxfId="1285" priority="364" operator="greaterThan">
      <formula>0</formula>
    </cfRule>
  </conditionalFormatting>
  <conditionalFormatting sqref="K48:K61">
    <cfRule type="cellIs" dxfId="1284" priority="338" operator="greaterThan">
      <formula>0</formula>
    </cfRule>
  </conditionalFormatting>
  <conditionalFormatting sqref="K65:K78">
    <cfRule type="cellIs" dxfId="1283" priority="312" operator="greaterThan">
      <formula>0</formula>
    </cfRule>
  </conditionalFormatting>
  <conditionalFormatting sqref="K82:K95">
    <cfRule type="cellIs" dxfId="1282" priority="286" operator="greaterThan">
      <formula>0</formula>
    </cfRule>
  </conditionalFormatting>
  <conditionalFormatting sqref="K99:K112">
    <cfRule type="cellIs" dxfId="1281" priority="260" operator="greaterThan">
      <formula>0</formula>
    </cfRule>
  </conditionalFormatting>
  <conditionalFormatting sqref="K116:K129 K133:K146 K150:K163 K167:K180">
    <cfRule type="cellIs" dxfId="1280" priority="178" operator="greaterThan">
      <formula>0</formula>
    </cfRule>
  </conditionalFormatting>
  <conditionalFormatting sqref="K183:K197">
    <cfRule type="cellIs" dxfId="1279" priority="171" operator="greaterThan">
      <formula>0</formula>
    </cfRule>
  </conditionalFormatting>
  <conditionalFormatting sqref="K199">
    <cfRule type="expression" dxfId="1278" priority="5501">
      <formula>$B$9="PLN"</formula>
    </cfRule>
    <cfRule type="expression" dxfId="1277" priority="5502">
      <formula>$B$9="CZK"</formula>
    </cfRule>
    <cfRule type="expression" dxfId="1276" priority="5503">
      <formula>$B$9="USD"</formula>
    </cfRule>
    <cfRule type="expression" dxfId="1275" priority="5504">
      <formula>$B$9="EURO"</formula>
    </cfRule>
  </conditionalFormatting>
  <conditionalFormatting sqref="L14:L27">
    <cfRule type="expression" dxfId="1274" priority="468">
      <formula>$C$9&lt;0</formula>
    </cfRule>
    <cfRule type="expression" dxfId="1273" priority="469">
      <formula>$C$9&gt;0</formula>
    </cfRule>
  </conditionalFormatting>
  <conditionalFormatting sqref="L31:L44">
    <cfRule type="expression" dxfId="1272" priority="362">
      <formula>$C$9&lt;0</formula>
    </cfRule>
    <cfRule type="expression" dxfId="1271" priority="363">
      <formula>$C$9&gt;0</formula>
    </cfRule>
  </conditionalFormatting>
  <conditionalFormatting sqref="L48:L61">
    <cfRule type="expression" dxfId="1270" priority="336">
      <formula>$C$9&lt;0</formula>
    </cfRule>
    <cfRule type="expression" dxfId="1269" priority="337">
      <formula>$C$9&gt;0</formula>
    </cfRule>
  </conditionalFormatting>
  <conditionalFormatting sqref="L65:L78">
    <cfRule type="expression" dxfId="1268" priority="310">
      <formula>$C$9&lt;0</formula>
    </cfRule>
    <cfRule type="expression" dxfId="1267" priority="311">
      <formula>$C$9&gt;0</formula>
    </cfRule>
  </conditionalFormatting>
  <conditionalFormatting sqref="L82:L95">
    <cfRule type="expression" dxfId="1266" priority="284">
      <formula>$C$9&lt;0</formula>
    </cfRule>
    <cfRule type="expression" dxfId="1265" priority="285">
      <formula>$C$9&gt;0</formula>
    </cfRule>
  </conditionalFormatting>
  <conditionalFormatting sqref="L99:L112">
    <cfRule type="expression" dxfId="1264" priority="258">
      <formula>$C$9&lt;0</formula>
    </cfRule>
    <cfRule type="expression" dxfId="1263" priority="259">
      <formula>$C$9&gt;0</formula>
    </cfRule>
  </conditionalFormatting>
  <conditionalFormatting sqref="L116:L129 L133:L146 L150:L163 L167:L180">
    <cfRule type="expression" dxfId="1262" priority="177">
      <formula>$C$9&gt;0</formula>
    </cfRule>
    <cfRule type="expression" dxfId="1261" priority="176">
      <formula>$C$9&lt;0</formula>
    </cfRule>
  </conditionalFormatting>
  <conditionalFormatting sqref="L183:L197">
    <cfRule type="expression" dxfId="1260" priority="5349">
      <formula>$C$9&gt;0</formula>
    </cfRule>
    <cfRule type="expression" dxfId="1259" priority="5348">
      <formula>$C$9&lt;0</formula>
    </cfRule>
  </conditionalFormatting>
  <conditionalFormatting sqref="N9 N12">
    <cfRule type="expression" dxfId="1258" priority="5616">
      <formula>$B$9="USD"</formula>
    </cfRule>
    <cfRule type="expression" dxfId="1257" priority="5615">
      <formula>$B$9="CZK"</formula>
    </cfRule>
    <cfRule type="expression" dxfId="1256" priority="5617">
      <formula>$B$9="EURO"</formula>
    </cfRule>
    <cfRule type="expression" dxfId="1255" priority="5614">
      <formula>$B$9="PLN"</formula>
    </cfRule>
  </conditionalFormatting>
  <conditionalFormatting sqref="N14:N27">
    <cfRule type="expression" dxfId="1254" priority="3299">
      <formula>$B$9="CZK"</formula>
    </cfRule>
    <cfRule type="expression" dxfId="1253" priority="3298">
      <formula>$B$9="PLN"</formula>
    </cfRule>
    <cfRule type="expression" dxfId="1252" priority="3297">
      <formula>$B$9="USD"</formula>
    </cfRule>
    <cfRule type="expression" dxfId="1251" priority="3296">
      <formula>$B$9="EURO"</formula>
    </cfRule>
    <cfRule type="cellIs" dxfId="1250" priority="3295" operator="greaterThan">
      <formula>0</formula>
    </cfRule>
  </conditionalFormatting>
  <conditionalFormatting sqref="N29">
    <cfRule type="expression" dxfId="1249" priority="1201">
      <formula>$B$9="USD"</formula>
    </cfRule>
    <cfRule type="expression" dxfId="1248" priority="1202">
      <formula>$B$9="EURO"</formula>
    </cfRule>
    <cfRule type="expression" dxfId="1247" priority="1200">
      <formula>$B$9="CZK"</formula>
    </cfRule>
    <cfRule type="expression" dxfId="1246" priority="1199">
      <formula>$B$9="PLN"</formula>
    </cfRule>
  </conditionalFormatting>
  <conditionalFormatting sqref="N31:N44">
    <cfRule type="expression" dxfId="1245" priority="371">
      <formula>$B$9="CZK"</formula>
    </cfRule>
    <cfRule type="expression" dxfId="1244" priority="370">
      <formula>$B$9="PLN"</formula>
    </cfRule>
    <cfRule type="expression" dxfId="1243" priority="369">
      <formula>$B$9="USD"</formula>
    </cfRule>
    <cfRule type="expression" dxfId="1242" priority="368">
      <formula>$B$9="EURO"</formula>
    </cfRule>
    <cfRule type="cellIs" dxfId="1241" priority="367" operator="greaterThan">
      <formula>0</formula>
    </cfRule>
  </conditionalFormatting>
  <conditionalFormatting sqref="N46">
    <cfRule type="expression" dxfId="1240" priority="1110">
      <formula>$B$9="USD"</formula>
    </cfRule>
    <cfRule type="expression" dxfId="1239" priority="1108">
      <formula>$B$9="PLN"</formula>
    </cfRule>
    <cfRule type="expression" dxfId="1238" priority="1111">
      <formula>$B$9="EURO"</formula>
    </cfRule>
    <cfRule type="expression" dxfId="1237" priority="1109">
      <formula>$B$9="CZK"</formula>
    </cfRule>
  </conditionalFormatting>
  <conditionalFormatting sqref="N48:N61">
    <cfRule type="expression" dxfId="1236" priority="343">
      <formula>$B$9="USD"</formula>
    </cfRule>
    <cfRule type="expression" dxfId="1235" priority="342">
      <formula>$B$9="EURO"</formula>
    </cfRule>
    <cfRule type="cellIs" dxfId="1234" priority="341" operator="greaterThan">
      <formula>0</formula>
    </cfRule>
    <cfRule type="expression" dxfId="1233" priority="344">
      <formula>$B$9="PLN"</formula>
    </cfRule>
    <cfRule type="expression" dxfId="1232" priority="345">
      <formula>$B$9="CZK"</formula>
    </cfRule>
  </conditionalFormatting>
  <conditionalFormatting sqref="N63">
    <cfRule type="expression" dxfId="1231" priority="1019">
      <formula>$B$9="USD"</formula>
    </cfRule>
    <cfRule type="expression" dxfId="1230" priority="1017">
      <formula>$B$9="PLN"</formula>
    </cfRule>
    <cfRule type="expression" dxfId="1229" priority="1018">
      <formula>$B$9="CZK"</formula>
    </cfRule>
    <cfRule type="expression" dxfId="1228" priority="1020">
      <formula>$B$9="EURO"</formula>
    </cfRule>
  </conditionalFormatting>
  <conditionalFormatting sqref="N65:N78">
    <cfRule type="expression" dxfId="1227" priority="319">
      <formula>$B$9="CZK"</formula>
    </cfRule>
    <cfRule type="expression" dxfId="1226" priority="316">
      <formula>$B$9="EURO"</formula>
    </cfRule>
    <cfRule type="expression" dxfId="1225" priority="317">
      <formula>$B$9="USD"</formula>
    </cfRule>
    <cfRule type="cellIs" dxfId="1224" priority="315" operator="greaterThan">
      <formula>0</formula>
    </cfRule>
    <cfRule type="expression" dxfId="1223" priority="318">
      <formula>$B$9="PLN"</formula>
    </cfRule>
  </conditionalFormatting>
  <conditionalFormatting sqref="N80">
    <cfRule type="expression" dxfId="1222" priority="926">
      <formula>$B$9="PLN"</formula>
    </cfRule>
    <cfRule type="expression" dxfId="1221" priority="927">
      <formula>$B$9="CZK"</formula>
    </cfRule>
    <cfRule type="expression" dxfId="1220" priority="928">
      <formula>$B$9="USD"</formula>
    </cfRule>
    <cfRule type="expression" dxfId="1219" priority="929">
      <formula>$B$9="EURO"</formula>
    </cfRule>
  </conditionalFormatting>
  <conditionalFormatting sqref="N82:N95">
    <cfRule type="expression" dxfId="1218" priority="293">
      <formula>$B$9="CZK"</formula>
    </cfRule>
    <cfRule type="expression" dxfId="1217" priority="292">
      <formula>$B$9="PLN"</formula>
    </cfRule>
    <cfRule type="expression" dxfId="1216" priority="291">
      <formula>$B$9="USD"</formula>
    </cfRule>
    <cfRule type="expression" dxfId="1215" priority="290">
      <formula>$B$9="EURO"</formula>
    </cfRule>
    <cfRule type="cellIs" dxfId="1214" priority="289" operator="greaterThan">
      <formula>0</formula>
    </cfRule>
  </conditionalFormatting>
  <conditionalFormatting sqref="N97">
    <cfRule type="expression" dxfId="1213" priority="835">
      <formula>$B$9="PLN"</formula>
    </cfRule>
    <cfRule type="expression" dxfId="1212" priority="836">
      <formula>$B$9="CZK"</formula>
    </cfRule>
    <cfRule type="expression" dxfId="1211" priority="837">
      <formula>$B$9="USD"</formula>
    </cfRule>
    <cfRule type="expression" dxfId="1210" priority="838">
      <formula>$B$9="EURO"</formula>
    </cfRule>
  </conditionalFormatting>
  <conditionalFormatting sqref="N99:N112">
    <cfRule type="expression" dxfId="1209" priority="267">
      <formula>$B$9="CZK"</formula>
    </cfRule>
    <cfRule type="expression" dxfId="1208" priority="266">
      <formula>$B$9="PLN"</formula>
    </cfRule>
    <cfRule type="expression" dxfId="1207" priority="265">
      <formula>$B$9="USD"</formula>
    </cfRule>
    <cfRule type="expression" dxfId="1206" priority="264">
      <formula>$B$9="EURO"</formula>
    </cfRule>
    <cfRule type="cellIs" dxfId="1205" priority="263" operator="greaterThan">
      <formula>0</formula>
    </cfRule>
  </conditionalFormatting>
  <conditionalFormatting sqref="N114">
    <cfRule type="expression" dxfId="1204" priority="241">
      <formula>$B$9="PLN"</formula>
    </cfRule>
    <cfRule type="expression" dxfId="1203" priority="244">
      <formula>$B$9="EURO"</formula>
    </cfRule>
    <cfRule type="expression" dxfId="1202" priority="243">
      <formula>$B$9="USD"</formula>
    </cfRule>
    <cfRule type="expression" dxfId="1201" priority="242">
      <formula>$B$9="CZK"</formula>
    </cfRule>
  </conditionalFormatting>
  <conditionalFormatting sqref="N116:N129 N133:N146 N150:N163 N167:N180">
    <cfRule type="cellIs" dxfId="1200" priority="181" operator="greaterThan">
      <formula>0</formula>
    </cfRule>
    <cfRule type="expression" dxfId="1199" priority="182">
      <formula>$B$9="EURO"</formula>
    </cfRule>
    <cfRule type="expression" dxfId="1198" priority="183">
      <formula>$B$9="USD"</formula>
    </cfRule>
    <cfRule type="expression" dxfId="1197" priority="184">
      <formula>$B$9="PLN"</formula>
    </cfRule>
    <cfRule type="expression" dxfId="1196" priority="185">
      <formula>$B$9="CZK"</formula>
    </cfRule>
  </conditionalFormatting>
  <conditionalFormatting sqref="N131">
    <cfRule type="expression" dxfId="1195" priority="165">
      <formula>$B$9="CZK"</formula>
    </cfRule>
    <cfRule type="expression" dxfId="1194" priority="166">
      <formula>$B$9="USD"</formula>
    </cfRule>
    <cfRule type="expression" dxfId="1193" priority="167">
      <formula>$B$9="EURO"</formula>
    </cfRule>
    <cfRule type="expression" dxfId="1192" priority="164">
      <formula>$B$9="PLN"</formula>
    </cfRule>
  </conditionalFormatting>
  <conditionalFormatting sqref="N148">
    <cfRule type="expression" dxfId="1191" priority="111">
      <formula>$B$9="EURO"</formula>
    </cfRule>
    <cfRule type="expression" dxfId="1190" priority="108">
      <formula>$B$9="PLN"</formula>
    </cfRule>
    <cfRule type="expression" dxfId="1189" priority="109">
      <formula>$B$9="CZK"</formula>
    </cfRule>
    <cfRule type="expression" dxfId="1188" priority="110">
      <formula>$B$9="USD"</formula>
    </cfRule>
  </conditionalFormatting>
  <conditionalFormatting sqref="N165">
    <cfRule type="expression" dxfId="1187" priority="52">
      <formula>$B$9="PLN"</formula>
    </cfRule>
    <cfRule type="expression" dxfId="1186" priority="54">
      <formula>$B$9="USD"</formula>
    </cfRule>
    <cfRule type="expression" dxfId="1185" priority="53">
      <formula>$B$9="CZK"</formula>
    </cfRule>
    <cfRule type="expression" dxfId="1184" priority="55">
      <formula>$B$9="EURO"</formula>
    </cfRule>
  </conditionalFormatting>
  <conditionalFormatting sqref="N183:N197">
    <cfRule type="expression" dxfId="1183" priority="4897">
      <formula>$B$9="CZK"</formula>
    </cfRule>
    <cfRule type="expression" dxfId="1182" priority="4896">
      <formula>$B$9="PLN"</formula>
    </cfRule>
    <cfRule type="expression" dxfId="1181" priority="4895">
      <formula>$B$9="USD"</formula>
    </cfRule>
    <cfRule type="expression" dxfId="1180" priority="4894">
      <formula>$B$9="EURO"</formula>
    </cfRule>
    <cfRule type="cellIs" dxfId="1179" priority="4893" operator="greaterThan">
      <formula>0</formula>
    </cfRule>
  </conditionalFormatting>
  <conditionalFormatting sqref="N182:O182">
    <cfRule type="expression" dxfId="1178" priority="5360">
      <formula>$B$9="PLN"</formula>
    </cfRule>
    <cfRule type="expression" dxfId="1177" priority="5363">
      <formula>$B$9="EURO"</formula>
    </cfRule>
    <cfRule type="expression" dxfId="1176" priority="5362">
      <formula>$B$9="USD"</formula>
    </cfRule>
    <cfRule type="expression" dxfId="1175" priority="5361">
      <formula>$B$9="CZK"</formula>
    </cfRule>
  </conditionalFormatting>
  <conditionalFormatting sqref="O14:O27">
    <cfRule type="cellIs" dxfId="1174" priority="3300" operator="greaterThan">
      <formula>0</formula>
    </cfRule>
  </conditionalFormatting>
  <conditionalFormatting sqref="O31:O44">
    <cfRule type="cellIs" dxfId="1173" priority="372" operator="greaterThan">
      <formula>0</formula>
    </cfRule>
  </conditionalFormatting>
  <conditionalFormatting sqref="O48:O61">
    <cfRule type="cellIs" dxfId="1172" priority="346" operator="greaterThan">
      <formula>0</formula>
    </cfRule>
  </conditionalFormatting>
  <conditionalFormatting sqref="O65:O78">
    <cfRule type="cellIs" dxfId="1171" priority="320" operator="greaterThan">
      <formula>0</formula>
    </cfRule>
  </conditionalFormatting>
  <conditionalFormatting sqref="O82:O95">
    <cfRule type="cellIs" dxfId="1170" priority="294" operator="greaterThan">
      <formula>0</formula>
    </cfRule>
  </conditionalFormatting>
  <conditionalFormatting sqref="O99:O112">
    <cfRule type="cellIs" dxfId="1169" priority="268" operator="greaterThan">
      <formula>0</formula>
    </cfRule>
  </conditionalFormatting>
  <conditionalFormatting sqref="O116:O129 O133:O146 O150:O163 O167:O180">
    <cfRule type="cellIs" dxfId="1168" priority="186" operator="greaterThan">
      <formula>0</formula>
    </cfRule>
  </conditionalFormatting>
  <conditionalFormatting sqref="O183:O197">
    <cfRule type="cellIs" dxfId="1167" priority="5506" operator="greaterThan">
      <formula>0</formula>
    </cfRule>
  </conditionalFormatting>
  <conditionalFormatting sqref="Q16">
    <cfRule type="expression" dxfId="1166" priority="396">
      <formula>$B$9="CZK"</formula>
    </cfRule>
    <cfRule type="expression" dxfId="1165" priority="395">
      <formula>$B$9="PLN"</formula>
    </cfRule>
    <cfRule type="expression" dxfId="1164" priority="394">
      <formula>$B$9="USD"</formula>
    </cfRule>
    <cfRule type="expression" dxfId="1163" priority="393">
      <formula>$B$9="EURO"</formula>
    </cfRule>
    <cfRule type="cellIs" dxfId="1162" priority="392" operator="greaterThan">
      <formula>0</formula>
    </cfRule>
  </conditionalFormatting>
  <dataValidations count="7">
    <dataValidation type="list" allowBlank="1" showInputMessage="1" showErrorMessage="1" sqref="D26 D94 D77 D60 D43 D111 D128 D145 D162 D179" xr:uid="{00000000-0002-0000-0700-000000000000}">
      <formula1>"0,1,2,3,4,5,6,7,8,9,10"</formula1>
    </dataValidation>
    <dataValidation type="list" allowBlank="1" showInputMessage="1" showErrorMessage="1" sqref="G181" xr:uid="{00000000-0002-0000-0700-000001000000}">
      <formula1>#REF!</formula1>
    </dataValidation>
    <dataValidation type="list" allowBlank="1" showInputMessage="1" showErrorMessage="1" sqref="C99 C31 C82 C65 C48 C14 C116 C133 C150 C167" xr:uid="{00000000-0002-0000-0700-000002000000}">
      <formula1>"WALL, ISLAND"</formula1>
    </dataValidation>
    <dataValidation operator="greaterThan" allowBlank="1" showInputMessage="1" showErrorMessage="1" sqref="E14 E65 E48 E31 E82 E99 E116 E133 E150 E167" xr:uid="{00000000-0002-0000-0700-000003000000}"/>
    <dataValidation type="list" allowBlank="1" showInputMessage="1" showErrorMessage="1" sqref="C71:C72 C37:C38 C88:C89 C20:C21 I84 I16 C54:C55 I67 I33 I50 C105:C106 I101 C122:C123 I118 C139:C140 I135 C156:C157 I152 C173:C174 I169" xr:uid="{00000000-0002-0000-0700-000004000000}">
      <formula1>"0,1,2,3,4,5,6,7,8,9,10,11,12,13,14,15,16,17,18,19,20"</formula1>
    </dataValidation>
    <dataValidation type="list" allowBlank="1" showInputMessage="1" showErrorMessage="1" errorTitle="Minimum number of sections " error="Must be greater than zero" sqref="H14 H65 H48 H31 H82 H99 H116 H133 H150 H167" xr:uid="{00000000-0002-0000-0700-000005000000}">
      <formula1>"1,2,3,4,5,6,7,8,9,10"</formula1>
    </dataValidation>
    <dataValidation type="list" allowBlank="1" showInputMessage="1" showErrorMessage="1" sqref="C27 C78 C95 C44 C61 C112 C129 C146 C163 C180" xr:uid="{00000000-0002-0000-0700-000006000000}">
      <formula1>"0,0.5,1,1.5,2,2.5,3,3.5,4,4.5,5"</formula1>
    </dataValidation>
  </dataValidations>
  <printOptions horizontalCentered="1"/>
  <pageMargins left="0.19685039370078741" right="0.19685039370078741" top="0.19685039370078741" bottom="0.19685039370078741" header="0.11811023622047245" footer="0.15748031496062992"/>
  <pageSetup paperSize="9" scale="41" orientation="portrait" r:id="rId1"/>
  <headerFooter alignWithMargins="0">
    <oddFooter>&amp;L&amp;8&amp;Z&amp;F</oddFooter>
  </headerFooter>
  <ignoredErrors>
    <ignoredError sqref="K15:K16 L9 K32:K33 L29 L46 K49 L63 K66:K67 L80 L97 K100:K101 L114 K117:K118 L131 K134:K135 L148 K151:K152 L165 K168 L182"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3302" operator="containsText" id="{613ACB70-9948-4B34-B12D-05BF357CC022}">
            <xm:f>NOT(ISERROR(SEARCH("SELECT WORKS",C17)))</xm:f>
            <xm:f>"SELECT WORKS"</xm:f>
            <x14:dxf>
              <font>
                <b/>
                <i val="0"/>
                <color rgb="FFC00000"/>
              </font>
              <fill>
                <patternFill>
                  <bgColor theme="0"/>
                </patternFill>
              </fill>
            </x14:dxf>
          </x14:cfRule>
          <xm:sqref>C17:C18</xm:sqref>
        </x14:conditionalFormatting>
        <x14:conditionalFormatting xmlns:xm="http://schemas.microsoft.com/office/excel/2006/main">
          <x14:cfRule type="containsText" priority="5493" operator="containsText" id="{4DCADE0C-AA41-4343-ACAF-1D91F81AC89D}">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1140" operator="containsText" id="{E3FF0A1D-10CA-46C5-8C65-CB7C27A1012B}">
            <xm:f>NOT(ISERROR(SEARCH("SELECT WORKS",C34)))</xm:f>
            <xm:f>"SELECT WORKS"</xm:f>
            <x14:dxf>
              <font>
                <b/>
                <i val="0"/>
                <color rgb="FFC00000"/>
              </font>
              <fill>
                <patternFill>
                  <bgColor theme="0"/>
                </patternFill>
              </fill>
            </x14:dxf>
          </x14:cfRule>
          <xm:sqref>C34:C35</xm:sqref>
        </x14:conditionalFormatting>
        <x14:conditionalFormatting xmlns:xm="http://schemas.microsoft.com/office/excel/2006/main">
          <x14:cfRule type="containsText" priority="1168" operator="containsText" id="{7FFA3120-FAEC-4FA7-838F-C7F8E533CDD9}">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1049" operator="containsText" id="{78500D3B-BE43-4D6C-9109-0383770AA043}">
            <xm:f>NOT(ISERROR(SEARCH("SELECT WORKS",C51)))</xm:f>
            <xm:f>"SELECT WORKS"</xm:f>
            <x14:dxf>
              <font>
                <b/>
                <i val="0"/>
                <color rgb="FFC00000"/>
              </font>
              <fill>
                <patternFill>
                  <bgColor theme="0"/>
                </patternFill>
              </fill>
            </x14:dxf>
          </x14:cfRule>
          <xm:sqref>C51:C52</xm:sqref>
        </x14:conditionalFormatting>
        <x14:conditionalFormatting xmlns:xm="http://schemas.microsoft.com/office/excel/2006/main">
          <x14:cfRule type="containsText" priority="1077" operator="containsText" id="{938C7C17-FCF7-4799-943D-A7920AF73A29}">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958" operator="containsText" id="{EB40C5CD-DD6F-4950-A8C6-EDA4D5DEDE6A}">
            <xm:f>NOT(ISERROR(SEARCH("SELECT WORKS",C68)))</xm:f>
            <xm:f>"SELECT WORKS"</xm:f>
            <x14:dxf>
              <font>
                <b/>
                <i val="0"/>
                <color rgb="FFC00000"/>
              </font>
              <fill>
                <patternFill>
                  <bgColor theme="0"/>
                </patternFill>
              </fill>
            </x14:dxf>
          </x14:cfRule>
          <xm:sqref>C68:C69</xm:sqref>
        </x14:conditionalFormatting>
        <x14:conditionalFormatting xmlns:xm="http://schemas.microsoft.com/office/excel/2006/main">
          <x14:cfRule type="containsText" priority="986" operator="containsText" id="{CB3E5F99-8CAF-4F91-8FE1-16E77773497B}">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867" operator="containsText" id="{CC3C17AA-8C9D-48A9-879F-426E868E772A}">
            <xm:f>NOT(ISERROR(SEARCH("SELECT WORKS",C85)))</xm:f>
            <xm:f>"SELECT WORKS"</xm:f>
            <x14:dxf>
              <font>
                <b/>
                <i val="0"/>
                <color rgb="FFC00000"/>
              </font>
              <fill>
                <patternFill>
                  <bgColor theme="0"/>
                </patternFill>
              </fill>
            </x14:dxf>
          </x14:cfRule>
          <xm:sqref>C85:C86</xm:sqref>
        </x14:conditionalFormatting>
        <x14:conditionalFormatting xmlns:xm="http://schemas.microsoft.com/office/excel/2006/main">
          <x14:cfRule type="containsText" priority="895" operator="containsText" id="{CEE54734-FA23-4935-BD9E-4767EF14754D}">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776" operator="containsText" id="{013D70A5-4BF8-43D9-AC32-E168540EAED9}">
            <xm:f>NOT(ISERROR(SEARCH("SELECT WORKS",C102)))</xm:f>
            <xm:f>"SELECT WORKS"</xm:f>
            <x14:dxf>
              <font>
                <b/>
                <i val="0"/>
                <color rgb="FFC00000"/>
              </font>
              <fill>
                <patternFill>
                  <bgColor theme="0"/>
                </patternFill>
              </fill>
            </x14:dxf>
          </x14:cfRule>
          <xm:sqref>C102:C103</xm:sqref>
        </x14:conditionalFormatting>
        <x14:conditionalFormatting xmlns:xm="http://schemas.microsoft.com/office/excel/2006/main">
          <x14:cfRule type="containsText" priority="804" operator="containsText" id="{DEEA1377-9EAF-4CBE-8F24-85EEEA3CE8BC}">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216" operator="containsText" id="{152E5D4D-A9A8-45D6-9498-FF495365B524}">
            <xm:f>NOT(ISERROR(SEARCH("SELECT WORKS",C119)))</xm:f>
            <xm:f>"SELECT WORKS"</xm:f>
            <x14:dxf>
              <font>
                <b/>
                <i val="0"/>
                <color rgb="FFC00000"/>
              </font>
              <fill>
                <patternFill>
                  <bgColor theme="0"/>
                </patternFill>
              </fill>
            </x14:dxf>
          </x14:cfRule>
          <xm:sqref>C119:C120</xm:sqref>
        </x14:conditionalFormatting>
        <x14:conditionalFormatting xmlns:xm="http://schemas.microsoft.com/office/excel/2006/main">
          <x14:cfRule type="containsText" priority="220" operator="containsText" id="{F8563811-FF07-4081-93B4-782BEFDF69C0}">
            <xm:f>NOT(ISERROR(SEARCH("SELECT CLADDING",C121)))</xm:f>
            <xm:f>"SELECT CLADDING"</xm:f>
            <x14:dxf>
              <font>
                <b/>
                <i val="0"/>
                <color rgb="FFC00000"/>
              </font>
              <fill>
                <patternFill>
                  <bgColor theme="0"/>
                </patternFill>
              </fill>
            </x14:dxf>
          </x14:cfRule>
          <xm:sqref>C121</xm:sqref>
        </x14:conditionalFormatting>
        <x14:conditionalFormatting xmlns:xm="http://schemas.microsoft.com/office/excel/2006/main">
          <x14:cfRule type="containsText" priority="144" operator="containsText" id="{63180FEA-CA92-49C3-A9A7-65ABF1DEA803}">
            <xm:f>NOT(ISERROR(SEARCH("SELECT WORKS",C136)))</xm:f>
            <xm:f>"SELECT WORKS"</xm:f>
            <x14:dxf>
              <font>
                <b/>
                <i val="0"/>
                <color rgb="FFC00000"/>
              </font>
              <fill>
                <patternFill>
                  <bgColor theme="0"/>
                </patternFill>
              </fill>
            </x14:dxf>
          </x14:cfRule>
          <xm:sqref>C136:C137</xm:sqref>
        </x14:conditionalFormatting>
        <x14:conditionalFormatting xmlns:xm="http://schemas.microsoft.com/office/excel/2006/main">
          <x14:cfRule type="containsText" priority="147" operator="containsText" id="{64FFB1C2-5F63-4689-984B-951FAD2FF3F7}">
            <xm:f>NOT(ISERROR(SEARCH("SELECT CLADDING",C138)))</xm:f>
            <xm:f>"SELECT CLADDING"</xm:f>
            <x14:dxf>
              <font>
                <b/>
                <i val="0"/>
                <color rgb="FFC00000"/>
              </font>
              <fill>
                <patternFill>
                  <bgColor theme="0"/>
                </patternFill>
              </fill>
            </x14:dxf>
          </x14:cfRule>
          <xm:sqref>C138</xm:sqref>
        </x14:conditionalFormatting>
        <x14:conditionalFormatting xmlns:xm="http://schemas.microsoft.com/office/excel/2006/main">
          <x14:cfRule type="containsText" priority="88" operator="containsText" id="{EF8F6F0D-8F2F-4EF4-B8F8-1EDDD2D6BA8F}">
            <xm:f>NOT(ISERROR(SEARCH("SELECT WORKS",C153)))</xm:f>
            <xm:f>"SELECT WORKS"</xm:f>
            <x14:dxf>
              <font>
                <b/>
                <i val="0"/>
                <color rgb="FFC00000"/>
              </font>
              <fill>
                <patternFill>
                  <bgColor theme="0"/>
                </patternFill>
              </fill>
            </x14:dxf>
          </x14:cfRule>
          <xm:sqref>C153:C154</xm:sqref>
        </x14:conditionalFormatting>
        <x14:conditionalFormatting xmlns:xm="http://schemas.microsoft.com/office/excel/2006/main">
          <x14:cfRule type="containsText" priority="91" operator="containsText" id="{BB72641E-8C48-4496-8F70-32FCAE6D6CE5}">
            <xm:f>NOT(ISERROR(SEARCH("SELECT CLADDING",C155)))</xm:f>
            <xm:f>"SELECT CLADDING"</xm:f>
            <x14:dxf>
              <font>
                <b/>
                <i val="0"/>
                <color rgb="FFC00000"/>
              </font>
              <fill>
                <patternFill>
                  <bgColor theme="0"/>
                </patternFill>
              </fill>
            </x14:dxf>
          </x14:cfRule>
          <xm:sqref>C155</xm:sqref>
        </x14:conditionalFormatting>
        <x14:conditionalFormatting xmlns:xm="http://schemas.microsoft.com/office/excel/2006/main">
          <x14:cfRule type="containsText" priority="32" operator="containsText" id="{8274EC99-ED34-40DB-8390-ABE058231679}">
            <xm:f>NOT(ISERROR(SEARCH("SELECT WORKS",C170)))</xm:f>
            <xm:f>"SELECT WORKS"</xm:f>
            <x14:dxf>
              <font>
                <b/>
                <i val="0"/>
                <color rgb="FFC00000"/>
              </font>
              <fill>
                <patternFill>
                  <bgColor theme="0"/>
                </patternFill>
              </fill>
            </x14:dxf>
          </x14:cfRule>
          <xm:sqref>C170:C171</xm:sqref>
        </x14:conditionalFormatting>
        <x14:conditionalFormatting xmlns:xm="http://schemas.microsoft.com/office/excel/2006/main">
          <x14:cfRule type="containsText" priority="35" operator="containsText" id="{D256200E-695F-4EC6-9334-39CF0EF2817C}">
            <xm:f>NOT(ISERROR(SEARCH("SELECT CLADDING",C172)))</xm:f>
            <xm:f>"SELECT CLADDING"</xm:f>
            <x14:dxf>
              <font>
                <b/>
                <i val="0"/>
                <color rgb="FFC00000"/>
              </font>
              <fill>
                <patternFill>
                  <bgColor theme="0"/>
                </patternFill>
              </fill>
            </x14:dxf>
          </x14:cfRule>
          <xm:sqref>C172</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7000000}">
          <x14:formula1>
            <xm:f>'Base Costs'!$U$4:$U$41</xm:f>
          </x14:formula1>
          <xm:sqref>C33 C169 C152 C135 C16 C101 C84 C67 C50 C118</xm:sqref>
        </x14:dataValidation>
        <x14:dataValidation type="list" allowBlank="1" showInputMessage="1" showErrorMessage="1" xr:uid="{00000000-0002-0000-0700-000008000000}">
          <x14:formula1>
            <xm:f>'Base Costs'!$Q$35:$Q$45</xm:f>
          </x14:formula1>
          <xm:sqref>C43 C179 C162 C145 C60 C77 C94 C111 C26 C128</xm:sqref>
        </x14:dataValidation>
        <x14:dataValidation type="list" allowBlank="1" showInputMessage="1" showErrorMessage="1" xr:uid="{00000000-0002-0000-0700-000009000000}">
          <x14:formula1>
            <xm:f>'Base Costs'!$A$19:$A$22</xm:f>
          </x14:formula1>
          <xm:sqref>C19 C172 C155 C138 C36 C87 C70 C53 C104 C121</xm:sqref>
        </x14:dataValidation>
        <x14:dataValidation type="list" allowBlank="1" showInputMessage="1" showErrorMessage="1" xr:uid="{00000000-0002-0000-0700-00000A000000}">
          <x14:formula1>
            <xm:f>'Base Costs'!$A$4:$A$16</xm:f>
          </x14:formula1>
          <xm:sqref>D184:D185</xm:sqref>
        </x14:dataValidation>
        <x14:dataValidation type="list" allowBlank="1" showInputMessage="1" showErrorMessage="1" xr:uid="{00000000-0002-0000-0700-00000B000000}">
          <x14:formula1>
            <xm:f>'Base Costs'!$E$4:$E$213</xm:f>
          </x14:formula1>
          <xm:sqref>D183 D186</xm:sqref>
        </x14:dataValidation>
        <x14:dataValidation type="list" allowBlank="1" showInputMessage="1" showErrorMessage="1" xr:uid="{00000000-0002-0000-0700-00000C000000}">
          <x14:formula1>
            <xm:f>'Base Costs'!$A$32:$A$37</xm:f>
          </x14:formula1>
          <xm:sqref>B9</xm:sqref>
        </x14:dataValidation>
        <x14:dataValidation type="list" allowBlank="1" showInputMessage="1" showErrorMessage="1" xr:uid="{00000000-0002-0000-0700-00000D000000}">
          <x14:formula1>
            <xm:f>CCBASE!$A$81:$A$85</xm:f>
          </x14:formula1>
          <xm:sqref>C25 C42 C93 C76 C59 C110 C127 C144 C161 C178</xm:sqref>
        </x14:dataValidation>
        <x14:dataValidation type="list" allowBlank="1" showInputMessage="1" showErrorMessage="1" xr:uid="{00000000-0002-0000-0700-00000E000000}">
          <x14:formula1>
            <xm:f>CCBASE!$A$53:$A$73</xm:f>
          </x14:formula1>
          <xm:sqref>C68:C69 C85:C86 C34:C35 C51:C52 C17:C18 C102:C103 C119:C120 C136:C137 C153:C154 C170:C171</xm:sqref>
        </x14:dataValidation>
        <x14:dataValidation type="list" allowBlank="1" showInputMessage="1" showErrorMessage="1" xr:uid="{00000000-0002-0000-0700-00000F000000}">
          <x14:formula1>
            <xm:f>'Base Costs'!$A$39:$A$53</xm:f>
          </x14:formula1>
          <xm:sqref>D14 D167 D150 D133 D31 D99 D48 D82 D65 D116</xm:sqref>
        </x14:dataValidation>
        <x14:dataValidation type="list" allowBlank="1" showInputMessage="1" showErrorMessage="1" xr:uid="{00000000-0002-0000-0700-000010000000}">
          <x14:formula1>
            <xm:f>'Base Costs'!$M$4:$M$21</xm:f>
          </x14:formula1>
          <xm:sqref>C32 C117 C83 C66 C49 C100 C134 C151 C168</xm:sqref>
        </x14:dataValidation>
        <x14:dataValidation type="list" allowBlank="1" showInputMessage="1" showErrorMessage="1" xr:uid="{00000000-0002-0000-0700-000011000000}">
          <x14:formula1>
            <xm:f>'Base Costs'!$M$4:$M$23</xm:f>
          </x14:formula1>
          <xm:sqref>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CF5A-3B5C-41B4-9813-6B5CC27CA219}">
  <sheetPr>
    <tabColor theme="8" tint="0.79998168889431442"/>
    <pageSetUpPr fitToPage="1"/>
  </sheetPr>
  <dimension ref="A1:AB310"/>
  <sheetViews>
    <sheetView showGridLines="0" zoomScale="80" zoomScaleNormal="80" zoomScaleSheetLayoutView="50" workbookViewId="0">
      <selection activeCell="O1" sqref="O1"/>
    </sheetView>
  </sheetViews>
  <sheetFormatPr baseColWidth="10" defaultColWidth="8.83203125" defaultRowHeight="15" customHeight="1" outlineLevelRow="1" x14ac:dyDescent="0.15"/>
  <cols>
    <col min="1" max="1" width="2" style="665" customWidth="1"/>
    <col min="2" max="2" width="32.33203125" style="672" customWidth="1"/>
    <col min="3" max="3" width="25.83203125" style="672" bestFit="1" customWidth="1"/>
    <col min="4" max="4" width="27.1640625" style="672" customWidth="1"/>
    <col min="5" max="5" width="24.83203125" style="672" customWidth="1"/>
    <col min="6" max="6" width="18.83203125" style="672" customWidth="1"/>
    <col min="7" max="7" width="20.33203125" style="672" customWidth="1"/>
    <col min="8" max="8" width="9.33203125" style="699" bestFit="1" customWidth="1"/>
    <col min="9" max="9" width="11.83203125" style="699" customWidth="1"/>
    <col min="10" max="10" width="14.83203125" style="700" bestFit="1" customWidth="1"/>
    <col min="11" max="11" width="17.5" style="690" customWidth="1"/>
    <col min="12" max="12" width="7.6640625" style="690" bestFit="1" customWidth="1"/>
    <col min="13" max="13" width="15.5" style="697" hidden="1" customWidth="1"/>
    <col min="14" max="14" width="13.5" style="700" customWidth="1"/>
    <col min="15" max="15" width="16.1640625" style="685" bestFit="1" customWidth="1"/>
    <col min="16" max="16" width="15.5" style="672" customWidth="1"/>
    <col min="17" max="24" width="8.83203125" style="672" customWidth="1"/>
    <col min="25" max="25" width="8.83203125" style="675" customWidth="1"/>
    <col min="26" max="27" width="8.83203125" style="672" customWidth="1"/>
    <col min="28" max="28" width="8.83203125" style="768" customWidth="1"/>
    <col min="29" max="97" width="8.83203125" style="672" customWidth="1"/>
    <col min="98" max="16384" width="8.83203125" style="672"/>
  </cols>
  <sheetData>
    <row r="1" spans="1:26" ht="15" customHeight="1" x14ac:dyDescent="0.15">
      <c r="B1" s="1108" t="s">
        <v>1465</v>
      </c>
      <c r="C1" s="1108"/>
      <c r="D1" s="666"/>
      <c r="E1" s="666"/>
      <c r="F1" s="666"/>
      <c r="G1" s="666"/>
      <c r="H1" s="667"/>
      <c r="I1" s="667"/>
      <c r="J1" s="668"/>
      <c r="K1" s="669"/>
      <c r="L1" s="670"/>
      <c r="M1" s="671"/>
      <c r="N1" s="668"/>
      <c r="O1" s="981" t="s">
        <v>1478</v>
      </c>
      <c r="Q1" s="673"/>
      <c r="R1" s="674"/>
    </row>
    <row r="2" spans="1:26" ht="15" customHeight="1" x14ac:dyDescent="0.15">
      <c r="B2" s="676"/>
      <c r="C2" s="677"/>
      <c r="D2" s="677"/>
      <c r="F2" s="676"/>
      <c r="G2" s="678"/>
      <c r="H2" s="679"/>
      <c r="I2" s="679"/>
      <c r="J2" s="680"/>
      <c r="K2" s="681"/>
      <c r="L2" s="682"/>
      <c r="M2" s="683"/>
      <c r="N2" s="684"/>
      <c r="R2" s="686"/>
      <c r="W2" s="687"/>
    </row>
    <row r="3" spans="1:26" ht="15" customHeight="1" x14ac:dyDescent="0.15">
      <c r="B3" s="688" t="s">
        <v>728</v>
      </c>
      <c r="C3" s="1080" t="str">
        <f>IF(CANOPY!C3="","",CANOPY!C3)</f>
        <v/>
      </c>
      <c r="D3" s="1110"/>
      <c r="F3" s="689" t="s">
        <v>75</v>
      </c>
      <c r="G3" s="1081" t="str">
        <f>IF(CANOPY!G3="","",CANOPY!G3)</f>
        <v/>
      </c>
      <c r="H3" s="1111"/>
      <c r="I3" s="1111" t="str">
        <f>IF(CANOPY!J3="","",CANOPY!J3)</f>
        <v/>
      </c>
      <c r="J3" s="1111"/>
      <c r="L3" s="682"/>
      <c r="M3" s="683"/>
      <c r="N3" s="684"/>
      <c r="R3" s="686"/>
    </row>
    <row r="4" spans="1:26" ht="15" customHeight="1" x14ac:dyDescent="0.15">
      <c r="B4" s="676"/>
      <c r="C4" s="691"/>
      <c r="D4" s="691"/>
      <c r="F4" s="678"/>
      <c r="G4" s="679"/>
      <c r="H4" s="692"/>
      <c r="I4" s="692"/>
      <c r="J4" s="681"/>
      <c r="L4" s="682"/>
      <c r="M4" s="683"/>
      <c r="N4" s="684"/>
      <c r="R4" s="686"/>
    </row>
    <row r="5" spans="1:26" ht="15" customHeight="1" x14ac:dyDescent="0.15">
      <c r="B5" s="688" t="s">
        <v>72</v>
      </c>
      <c r="C5" s="1080" t="str">
        <f>IF(CANOPY!C5="","",CANOPY!C5)</f>
        <v/>
      </c>
      <c r="D5" s="1080"/>
      <c r="F5" s="689" t="s">
        <v>74</v>
      </c>
      <c r="G5" s="1081" t="str">
        <f>IF(CANOPY!G5="","",CANOPY!G5)</f>
        <v/>
      </c>
      <c r="H5" s="1111"/>
      <c r="I5" s="1111" t="str">
        <f>IF(CANOPY!J5="","",CANOPY!J5)</f>
        <v/>
      </c>
      <c r="J5" s="1111"/>
      <c r="M5" s="683"/>
      <c r="N5" s="684"/>
      <c r="P5" s="693"/>
      <c r="R5" s="686"/>
      <c r="S5" s="687"/>
    </row>
    <row r="6" spans="1:26" ht="15" customHeight="1" x14ac:dyDescent="0.15">
      <c r="B6" s="688"/>
      <c r="C6" s="694"/>
      <c r="D6" s="694"/>
      <c r="F6" s="689"/>
      <c r="G6" s="679"/>
      <c r="H6" s="676"/>
      <c r="I6" s="676"/>
      <c r="J6" s="695"/>
      <c r="L6" s="682"/>
      <c r="M6" s="683"/>
      <c r="N6" s="684"/>
      <c r="P6" s="693"/>
      <c r="R6" s="686"/>
      <c r="S6" s="687"/>
      <c r="Y6" s="696"/>
    </row>
    <row r="7" spans="1:26" ht="15" customHeight="1" x14ac:dyDescent="0.15">
      <c r="B7" s="673" t="s">
        <v>729</v>
      </c>
      <c r="C7" s="1080" t="str">
        <f>IF(CANOPY!C7="","",CANOPY!C7)</f>
        <v/>
      </c>
      <c r="D7" s="1110"/>
      <c r="F7" s="689" t="s">
        <v>73</v>
      </c>
      <c r="G7" s="1083" t="str">
        <f>IF(CANOPY!G7="","",CANOPY!G7)</f>
        <v/>
      </c>
      <c r="H7" s="1112"/>
      <c r="I7" s="1112" t="str">
        <f>IF(CANOPY!J7="","",CANOPY!J7)</f>
        <v/>
      </c>
      <c r="J7" s="1112"/>
      <c r="N7" s="698" t="s">
        <v>76</v>
      </c>
      <c r="O7" s="910" t="str">
        <f>IF(CANOPY!O7="","",CANOPY!O7)</f>
        <v/>
      </c>
      <c r="P7" s="693"/>
      <c r="R7" s="686"/>
      <c r="S7" s="687"/>
      <c r="Y7" s="696"/>
    </row>
    <row r="8" spans="1:26" ht="15" customHeight="1" x14ac:dyDescent="0.15">
      <c r="D8" s="675"/>
      <c r="E8" s="675"/>
      <c r="G8" s="675"/>
      <c r="J8" s="697"/>
      <c r="K8" s="685"/>
      <c r="P8" s="693"/>
      <c r="R8" s="686"/>
      <c r="Y8" s="696"/>
    </row>
    <row r="9" spans="1:26" s="673" customFormat="1" ht="15" customHeight="1" x14ac:dyDescent="0.15">
      <c r="A9" s="665"/>
      <c r="B9" s="701" t="s">
        <v>348</v>
      </c>
      <c r="C9" s="957">
        <v>0</v>
      </c>
      <c r="D9" s="797">
        <f>IF(C9=0,0,(SUBTOTAL(9,M14:M197)/(1-C9))-M9)</f>
        <v>0</v>
      </c>
      <c r="E9" s="1109"/>
      <c r="F9" s="1109"/>
      <c r="G9" s="1122"/>
      <c r="H9" s="1123"/>
      <c r="I9" s="1123"/>
      <c r="J9" s="1123"/>
      <c r="K9" s="702">
        <f>SUBTOTAL(9,K12:K197)</f>
        <v>1027.2</v>
      </c>
      <c r="L9" s="975">
        <f>IF(O9=0,"-",O9/M9)</f>
        <v>0.39213566507684156</v>
      </c>
      <c r="M9" s="702">
        <f>SUBTOTAL(9,M12:M197)</f>
        <v>1689.8507462686568</v>
      </c>
      <c r="N9" s="704">
        <f>SUBTOTAL(9,N12:N197)</f>
        <v>1689.8507462686568</v>
      </c>
      <c r="O9" s="702">
        <f>SUBTOTAL(9,O12:O197)</f>
        <v>662.6507462686568</v>
      </c>
      <c r="P9" s="672"/>
      <c r="Q9" s="672"/>
      <c r="R9" s="672"/>
      <c r="S9" s="672"/>
      <c r="T9" s="672"/>
      <c r="X9" s="672"/>
      <c r="Y9" s="672"/>
      <c r="Z9" s="672"/>
    </row>
    <row r="10" spans="1:26" s="673" customFormat="1" ht="15" customHeight="1" x14ac:dyDescent="0.15">
      <c r="A10" s="665"/>
      <c r="B10" s="705" t="s">
        <v>348</v>
      </c>
      <c r="C10" s="705" t="s">
        <v>537</v>
      </c>
      <c r="D10" s="705" t="s">
        <v>536</v>
      </c>
      <c r="E10" s="705"/>
      <c r="F10" s="705"/>
      <c r="G10" s="705"/>
      <c r="H10" s="705"/>
      <c r="I10" s="706"/>
      <c r="J10" s="707" t="s">
        <v>204</v>
      </c>
      <c r="K10" s="708" t="s">
        <v>34</v>
      </c>
      <c r="L10" s="709" t="s">
        <v>141</v>
      </c>
      <c r="M10" s="710" t="s">
        <v>127</v>
      </c>
      <c r="N10" s="707" t="s">
        <v>205</v>
      </c>
      <c r="O10" s="711" t="s">
        <v>206</v>
      </c>
      <c r="P10" s="672"/>
      <c r="Q10" s="672"/>
      <c r="R10" s="672"/>
      <c r="S10" s="712"/>
      <c r="T10" s="672"/>
      <c r="X10" s="672"/>
      <c r="Y10" s="672"/>
      <c r="Z10" s="672"/>
    </row>
    <row r="11" spans="1:26" s="673" customFormat="1" ht="15" customHeight="1" x14ac:dyDescent="0.15">
      <c r="A11" s="665"/>
      <c r="B11" s="713"/>
      <c r="C11" s="714"/>
      <c r="D11" s="714"/>
      <c r="E11" s="714"/>
      <c r="F11" s="714"/>
      <c r="G11" s="715" t="s">
        <v>347</v>
      </c>
      <c r="H11" s="714"/>
      <c r="I11" s="715">
        <f>IF(ISNUMBER(SEARCH("UV",D14)),49.7,71.75)</f>
        <v>71.75</v>
      </c>
      <c r="J11" s="716"/>
      <c r="K11" s="713"/>
      <c r="L11" s="717"/>
      <c r="M11" s="718"/>
      <c r="N11" s="716"/>
      <c r="O11" s="685"/>
      <c r="P11" s="672"/>
      <c r="Q11" s="672"/>
      <c r="R11" s="672"/>
      <c r="S11" s="712"/>
      <c r="T11" s="672"/>
      <c r="X11" s="672"/>
      <c r="Y11" s="672"/>
      <c r="Z11" s="672"/>
    </row>
    <row r="12" spans="1:26" s="673" customFormat="1" ht="15" customHeight="1" x14ac:dyDescent="0.15">
      <c r="A12" s="665"/>
      <c r="B12" s="241" t="s">
        <v>1063</v>
      </c>
      <c r="C12" s="719">
        <f>IF(H12&lt;1,0,(((VLOOKUP(G12,CC!$D$2:$F$670,3,FALSE))*H12)+IF(ISNUMBER(SEARCH("CMW",D14)),VLOOKUP(C25,CCBASE!$A$81:$C$85,3,FALSE),0)+(VLOOKUP(C17,CCBASE!$A$53:$C$73,3,FALSE)*D17)+(VLOOKUP(C18,CCBASE!$A$53:$C$73,3,FALSE)*D18))&amp;" HRS")</f>
        <v>0</v>
      </c>
      <c r="D12" s="720" t="str">
        <f>D14</f>
        <v>CANOPY TYPE</v>
      </c>
      <c r="E12" s="701">
        <f>CEILING(IF(C14="WALL",E14, (E14/2)),250)</f>
        <v>0</v>
      </c>
      <c r="F12" s="701">
        <f>IF(H12&lt;1,0,CEILING((F14-100)/H14,250))</f>
        <v>0</v>
      </c>
      <c r="G12" s="720" t="str">
        <f>D12&amp;F12&amp;E12</f>
        <v>CANOPY TYPE00</v>
      </c>
      <c r="H12" s="719">
        <f>IF(E14=0,0,IF(F14=0,0,(E14/(IF(C14="WALL",E14,(E14/2)))*H14)))</f>
        <v>0</v>
      </c>
      <c r="I12" s="719" t="str">
        <f>I14&amp;" m³/s"</f>
        <v xml:space="preserve"> m³/s</v>
      </c>
      <c r="J12" s="721"/>
      <c r="K12" s="722">
        <f>SUBTOTAL(9,K14:K27)</f>
        <v>0</v>
      </c>
      <c r="L12" s="703" t="str">
        <f>IF(K12=0,"-",O12/M12)</f>
        <v>-</v>
      </c>
      <c r="M12" s="722">
        <f>SUBTOTAL(9,M14:M27)</f>
        <v>0</v>
      </c>
      <c r="N12" s="704">
        <f>SUBTOTAL(9,N14:N27)</f>
        <v>0</v>
      </c>
      <c r="O12" s="722">
        <f>SUBTOTAL(9,O14:O27)</f>
        <v>0</v>
      </c>
      <c r="P12" s="672"/>
      <c r="Q12" s="672"/>
      <c r="R12" s="672"/>
      <c r="S12" s="712"/>
      <c r="T12" s="672"/>
      <c r="X12" s="672"/>
      <c r="Y12" s="672"/>
      <c r="Z12" s="672"/>
    </row>
    <row r="13" spans="1:26" ht="15" customHeight="1" outlineLevel="1" x14ac:dyDescent="0.15">
      <c r="B13" s="723"/>
      <c r="C13" s="724" t="s">
        <v>198</v>
      </c>
      <c r="D13" s="725" t="s">
        <v>255</v>
      </c>
      <c r="E13" s="724" t="s">
        <v>128</v>
      </c>
      <c r="F13" s="724" t="s">
        <v>129</v>
      </c>
      <c r="G13" s="724" t="s">
        <v>172</v>
      </c>
      <c r="H13" s="724" t="s">
        <v>197</v>
      </c>
      <c r="I13" s="725" t="s">
        <v>256</v>
      </c>
      <c r="J13" s="726"/>
      <c r="K13" s="727"/>
      <c r="L13" s="727"/>
      <c r="M13" s="728"/>
      <c r="N13" s="729"/>
      <c r="O13" s="711"/>
      <c r="S13" s="693"/>
      <c r="Y13" s="672"/>
    </row>
    <row r="14" spans="1:26" ht="15" customHeight="1" outlineLevel="1" x14ac:dyDescent="0.2">
      <c r="B14" s="269" t="s">
        <v>182</v>
      </c>
      <c r="C14" s="731" t="s">
        <v>183</v>
      </c>
      <c r="D14" s="858" t="s">
        <v>130</v>
      </c>
      <c r="E14" s="733"/>
      <c r="F14" s="733"/>
      <c r="G14" s="733"/>
      <c r="H14" s="734"/>
      <c r="I14" s="733"/>
      <c r="J14" s="735">
        <f>IF(ISNA(C12),0,IF(F12&gt;3000,0,(IF(H12&lt;1,0,((VLOOKUP(G12,CC!$D$2:$E$670,2,FALSE))*H12)+((VLOOKUP(G12,CC!$D$2:$AD$670,17,FALSE)*(H12/H14)))))))</f>
        <v>0</v>
      </c>
      <c r="K14" s="736">
        <f>J14*1</f>
        <v>0</v>
      </c>
      <c r="L14" s="737">
        <v>0.44</v>
      </c>
      <c r="M14" s="738">
        <f t="shared" ref="M14:M27" si="0">K14/(1-L14)*(1+$C$9)</f>
        <v>0</v>
      </c>
      <c r="N14" s="736">
        <f>M14*VLOOKUP($B$9,'Base Costs'!$A$32:$B$37,2,FALSE)</f>
        <v>0</v>
      </c>
      <c r="O14" s="739">
        <f t="shared" ref="O14:O27" si="1">M14-K14</f>
        <v>0</v>
      </c>
      <c r="S14" s="693"/>
      <c r="Y14" s="672"/>
    </row>
    <row r="15" spans="1:26" ht="15" customHeight="1" outlineLevel="1" x14ac:dyDescent="0.15">
      <c r="A15" s="665">
        <v>104</v>
      </c>
      <c r="B15" s="730" t="s">
        <v>4</v>
      </c>
      <c r="C15" s="732" t="s">
        <v>185</v>
      </c>
      <c r="D15" s="740"/>
      <c r="E15" s="856"/>
      <c r="F15" s="742"/>
      <c r="G15" s="743"/>
      <c r="H15" s="667"/>
      <c r="I15" s="667"/>
      <c r="J15" s="735">
        <f>IF(ISNA(C12),0,IF(D15=0,0,IF(C15="FLO",VLOOKUP(E15,'Base Costs'!$M$4:$N$12,2,FALSE),IF(C15="LED STRIP",VLOOKUP(E15,'Base Costs'!$M$4:$N$12,2,FALSE),(VLOOKUP(C15,'Base Costs'!$M$4:$N$12,2,FALSE))))))</f>
        <v>0</v>
      </c>
      <c r="K15" s="736">
        <f>J15*D15</f>
        <v>0</v>
      </c>
      <c r="L15" s="737">
        <v>0.31</v>
      </c>
      <c r="M15" s="738">
        <f t="shared" si="0"/>
        <v>0</v>
      </c>
      <c r="N15" s="736">
        <f>M15*VLOOKUP($B$9,'Base Costs'!$A$32:$B$37,2,FALSE)</f>
        <v>0</v>
      </c>
      <c r="O15" s="739">
        <f t="shared" si="1"/>
        <v>0</v>
      </c>
      <c r="P15" s="744"/>
      <c r="S15" s="693"/>
      <c r="Y15" s="672"/>
    </row>
    <row r="16" spans="1:26" ht="15" customHeight="1" outlineLevel="1" x14ac:dyDescent="0.15">
      <c r="A16" s="665">
        <v>234</v>
      </c>
      <c r="B16" s="269" t="s">
        <v>1054</v>
      </c>
      <c r="C16" s="958" t="s">
        <v>839</v>
      </c>
      <c r="D16" s="746"/>
      <c r="E16" s="795"/>
      <c r="F16" s="748"/>
      <c r="G16" s="749"/>
      <c r="H16" s="750"/>
      <c r="I16" s="751">
        <v>1</v>
      </c>
      <c r="J16" s="735">
        <f>VLOOKUP(C16,'Base Costs'!$U$4:$V$41,2,FALSE)</f>
        <v>0</v>
      </c>
      <c r="K16" s="736">
        <f t="shared" ref="K16:K24" si="2">J16*1</f>
        <v>0</v>
      </c>
      <c r="L16" s="737">
        <v>0.25</v>
      </c>
      <c r="M16" s="738">
        <f t="shared" si="0"/>
        <v>0</v>
      </c>
      <c r="N16" s="736">
        <f>M16*VLOOKUP($B$9,'Base Costs'!$A$32:$B$37,2,FALSE)</f>
        <v>0</v>
      </c>
      <c r="O16" s="739">
        <f t="shared" si="1"/>
        <v>0</v>
      </c>
      <c r="P16" s="744"/>
      <c r="Q16" s="931"/>
      <c r="S16" s="693"/>
      <c r="Y16" s="672"/>
    </row>
    <row r="17" spans="1:26" ht="15" customHeight="1" outlineLevel="1" x14ac:dyDescent="0.15">
      <c r="B17" s="269" t="s">
        <v>1396</v>
      </c>
      <c r="C17" s="958" t="s">
        <v>1396</v>
      </c>
      <c r="D17" s="972">
        <v>1</v>
      </c>
      <c r="E17" s="753"/>
      <c r="F17" s="754"/>
      <c r="G17" s="749"/>
      <c r="H17" s="750"/>
      <c r="I17" s="755"/>
      <c r="J17" s="735">
        <f>VLOOKUP(C17,'Base Costs'!$U$44:$V$56,2,FALSE)</f>
        <v>0</v>
      </c>
      <c r="K17" s="736">
        <f>J17*D17</f>
        <v>0</v>
      </c>
      <c r="L17" s="737">
        <v>0.35</v>
      </c>
      <c r="M17" s="738">
        <f t="shared" si="0"/>
        <v>0</v>
      </c>
      <c r="N17" s="736">
        <f>M17*VLOOKUP($B$9,'Base Costs'!$A$32:$B$37,2,FALSE)</f>
        <v>0</v>
      </c>
      <c r="O17" s="739">
        <f t="shared" si="1"/>
        <v>0</v>
      </c>
      <c r="P17" s="860"/>
      <c r="S17" s="693"/>
      <c r="Y17" s="672"/>
    </row>
    <row r="18" spans="1:26" ht="15" customHeight="1" outlineLevel="1" x14ac:dyDescent="0.15">
      <c r="B18" s="269" t="s">
        <v>339</v>
      </c>
      <c r="C18" s="752" t="s">
        <v>342</v>
      </c>
      <c r="D18" s="734"/>
      <c r="E18" s="753" t="str">
        <f>IF(C18="","",VLOOKUP(C18,CCBASE!$A$53:$D$73,4,FALSE))</f>
        <v/>
      </c>
      <c r="F18" s="754"/>
      <c r="G18" s="749"/>
      <c r="H18" s="750"/>
      <c r="I18" s="755"/>
      <c r="J18" s="735">
        <f>IF(C18="",0,VLOOKUP(C18,CCBASE!$A$53:$C$73,2,FALSE))</f>
        <v>0</v>
      </c>
      <c r="K18" s="736">
        <f>J18*D18</f>
        <v>0</v>
      </c>
      <c r="L18" s="737">
        <v>0.44</v>
      </c>
      <c r="M18" s="738">
        <f t="shared" si="0"/>
        <v>0</v>
      </c>
      <c r="N18" s="736">
        <f>M18*VLOOKUP($B$9,'Base Costs'!$A$32:$B$37,2,FALSE)</f>
        <v>0</v>
      </c>
      <c r="O18" s="739">
        <f t="shared" si="1"/>
        <v>0</v>
      </c>
      <c r="S18" s="693"/>
      <c r="Y18" s="672"/>
    </row>
    <row r="19" spans="1:26" ht="15" customHeight="1" outlineLevel="1" x14ac:dyDescent="0.15">
      <c r="A19" s="665">
        <v>289</v>
      </c>
      <c r="B19" s="730" t="s">
        <v>9</v>
      </c>
      <c r="C19" s="752" t="s">
        <v>565</v>
      </c>
      <c r="D19" s="756">
        <f>ROUNDUP($F14/1000,0)</f>
        <v>0</v>
      </c>
      <c r="E19" s="1107" t="s">
        <v>1059</v>
      </c>
      <c r="F19" s="1105"/>
      <c r="G19" s="754"/>
      <c r="H19" s="750"/>
      <c r="I19" s="755"/>
      <c r="J19" s="735">
        <f>IF(D19=0,0,VLOOKUP(C19,'Base Costs'!$A$19:$B$22,2,FALSE))</f>
        <v>0</v>
      </c>
      <c r="K19" s="736">
        <f>J19*D19</f>
        <v>0</v>
      </c>
      <c r="L19" s="737">
        <v>0.44</v>
      </c>
      <c r="M19" s="738">
        <f t="shared" si="0"/>
        <v>0</v>
      </c>
      <c r="N19" s="736">
        <f>M19*VLOOKUP($B$9,'Base Costs'!$A$32:$B$37,2,FALSE)</f>
        <v>0</v>
      </c>
      <c r="O19" s="739">
        <f>M19-K19</f>
        <v>0</v>
      </c>
      <c r="S19" s="693"/>
      <c r="Y19" s="672"/>
    </row>
    <row r="20" spans="1:26" ht="15" customHeight="1" outlineLevel="1" x14ac:dyDescent="0.15">
      <c r="A20" s="665">
        <v>242</v>
      </c>
      <c r="B20" s="730" t="s">
        <v>44</v>
      </c>
      <c r="C20" s="752"/>
      <c r="D20" s="741" t="s">
        <v>335</v>
      </c>
      <c r="E20" s="749" t="s">
        <v>718</v>
      </c>
      <c r="F20" s="748"/>
      <c r="G20" s="749"/>
      <c r="H20" s="750"/>
      <c r="I20" s="755"/>
      <c r="J20" s="735">
        <f>IF(C20=0,0,'Base Costs'!$B$26)</f>
        <v>0</v>
      </c>
      <c r="K20" s="736">
        <f>J20*C20</f>
        <v>0</v>
      </c>
      <c r="L20" s="737">
        <v>0.44</v>
      </c>
      <c r="M20" s="738">
        <f t="shared" si="0"/>
        <v>0</v>
      </c>
      <c r="N20" s="736">
        <f>M20*VLOOKUP($B$9,'Base Costs'!$A$32:$B$37,2,FALSE)</f>
        <v>0</v>
      </c>
      <c r="O20" s="739">
        <f t="shared" si="1"/>
        <v>0</v>
      </c>
      <c r="S20" s="693"/>
      <c r="Y20" s="672"/>
    </row>
    <row r="21" spans="1:26" ht="15" customHeight="1" outlineLevel="1" x14ac:dyDescent="0.15">
      <c r="A21" s="665">
        <v>220</v>
      </c>
      <c r="B21" s="730" t="s">
        <v>43</v>
      </c>
      <c r="C21" s="752"/>
      <c r="D21" s="741" t="s">
        <v>336</v>
      </c>
      <c r="E21" s="748"/>
      <c r="F21" s="748"/>
      <c r="G21" s="757" t="str">
        <f>IF(ISNUMBER(SEARCH("KSA",$D22)),"MAX. EXTRACT (m³/s)", "")</f>
        <v/>
      </c>
      <c r="H21" s="1102" t="str">
        <f>IF(ISNUMBER(SEARCH("MUAP",$D14)),"MAX.  SUPPLY (m³/s)",IF(ISNUMBER(SEARCH("SPECIAL",$D14)),"MAX.  SUPPLY (m³/s)",(IF(ISNUMBER(SEARCH("F",$D14)),"MAX.  SUPPLY (m³/s)",""))))</f>
        <v/>
      </c>
      <c r="I21" s="1102"/>
      <c r="J21" s="735">
        <f>IF(C21=0,0,'Base Costs'!$B$29)</f>
        <v>0</v>
      </c>
      <c r="K21" s="736">
        <f>J21*C21</f>
        <v>0</v>
      </c>
      <c r="L21" s="737">
        <v>0.44</v>
      </c>
      <c r="M21" s="738">
        <f t="shared" si="0"/>
        <v>0</v>
      </c>
      <c r="N21" s="736">
        <f>M21*VLOOKUP($B$9,'Base Costs'!$A$32:$B$37,2,FALSE)</f>
        <v>0</v>
      </c>
      <c r="O21" s="739">
        <f t="shared" si="1"/>
        <v>0</v>
      </c>
      <c r="S21" s="693"/>
      <c r="Y21" s="672"/>
    </row>
    <row r="22" spans="1:26" ht="15" customHeight="1" outlineLevel="1" x14ac:dyDescent="0.15">
      <c r="B22" s="730" t="s">
        <v>3</v>
      </c>
      <c r="C22" s="740">
        <f>IF(ISNUMBER(SEARCH("CMW",D14)),1,IF(F12=0,0,(ROUNDDOWN(((((F14-(100+(50*H12))))/H14)/500),0)*H12)))</f>
        <v>0</v>
      </c>
      <c r="D22" s="741" t="str">
        <f>VLOOKUP(D14,'Base Costs'!$A$39:$B$58,2,FALSE)</f>
        <v>FILTER TYPE</v>
      </c>
      <c r="E22" s="758" t="str">
        <f>IF(C22=0,0,IF(D22="KSA",ROUND(I14/C22,3),""))&amp; "  m³/s per filter"</f>
        <v>0  m³/s per filter</v>
      </c>
      <c r="F22" s="758" t="str">
        <f>IF(C22=0," Pa",ROUND((((I14*3600)/(C22*I11))^2),1)+20&amp; " Pa")</f>
        <v xml:space="preserve"> Pa</v>
      </c>
      <c r="G22" s="759" t="str">
        <f>IF(ISNUMBER(SEARCH("KSA",$D22)),$C22*0.25, "")</f>
        <v/>
      </c>
      <c r="H22" s="1103" t="str">
        <f>IF(ISNUMBER(SEARCH("MUAP",$D14)),0.225*($F14/1000),IF(ISNUMBER(SEARCH("SPECIAL",$D14)),0.225*($F14/1000),(IF(ISNUMBER(SEARCH("F",$D14)),0.225*($F14/1000),""))))</f>
        <v/>
      </c>
      <c r="I22" s="1103"/>
      <c r="J22" s="735">
        <f>IF(ISNA(D22),0,(VLOOKUP(D22,'Base Costs'!$Q$4:$R$11,2,FALSE)))</f>
        <v>0</v>
      </c>
      <c r="K22" s="736">
        <f>IF(ISNA(D22),0,IF(D22="MX",J22*1,J22*C22))</f>
        <v>0</v>
      </c>
      <c r="L22" s="737">
        <v>0.44</v>
      </c>
      <c r="M22" s="738">
        <f t="shared" si="0"/>
        <v>0</v>
      </c>
      <c r="N22" s="736">
        <f>M22*VLOOKUP($B$9,'Base Costs'!$A$32:$B$37,2,FALSE)</f>
        <v>0</v>
      </c>
      <c r="O22" s="739">
        <f t="shared" si="1"/>
        <v>0</v>
      </c>
      <c r="S22" s="693"/>
      <c r="Y22" s="672"/>
    </row>
    <row r="23" spans="1:26" ht="15" customHeight="1" outlineLevel="1" x14ac:dyDescent="0.15">
      <c r="B23" s="269" t="s">
        <v>1351</v>
      </c>
      <c r="C23" s="740">
        <v>0</v>
      </c>
      <c r="D23" s="856" t="str">
        <f>VLOOKUP(D14,'Base Costs'!$A$39:$C$58,3,FALSE)</f>
        <v>PSU</v>
      </c>
      <c r="E23" s="758" t="str">
        <f>IF(C23=0,0,IF(D23="PSU",ROUND(I14/C23,3),""))&amp; " m³/s per filter"</f>
        <v>0 m³/s per filter</v>
      </c>
      <c r="F23" s="758" t="str">
        <f>IF(C23=0," Pa",ROUND((((I14*3600)/(C23*I11))^2),1)+20&amp; " Pa")</f>
        <v xml:space="preserve"> Pa</v>
      </c>
      <c r="G23" s="759" t="str">
        <f>IF(ISNUMBER(SEARCH("KSA",$D23)),$C23*0.25, "")</f>
        <v/>
      </c>
      <c r="H23" s="1103" t="str">
        <f>IF(ISNUMBER(SEARCH("MUAP",$D14)),0.225*($F14/1000),IF(ISNUMBER(SEARCH("SPECIAL",$D14)),0.225*($F14/1000),(IF(ISNUMBER(SEARCH("F",$D14)),0.225*($F14/1000),""))))</f>
        <v/>
      </c>
      <c r="I23" s="1103"/>
      <c r="J23" s="735"/>
      <c r="K23" s="736">
        <f>IF(ISNA(D23),0,IF(D23="MX",J23*1,J23*C23))</f>
        <v>0</v>
      </c>
      <c r="L23" s="737">
        <v>0.44</v>
      </c>
      <c r="M23" s="738">
        <f t="shared" si="0"/>
        <v>0</v>
      </c>
      <c r="N23" s="736">
        <f>M23*VLOOKUP($B$9,'Base Costs'!$A$32:$B$37,2,FALSE)</f>
        <v>0</v>
      </c>
      <c r="O23" s="739">
        <f t="shared" si="1"/>
        <v>0</v>
      </c>
      <c r="S23" s="693"/>
      <c r="Y23" s="672"/>
    </row>
    <row r="24" spans="1:26" ht="15" customHeight="1" outlineLevel="1" x14ac:dyDescent="0.15">
      <c r="A24" s="665">
        <v>107</v>
      </c>
      <c r="B24" s="760" t="str">
        <f>IF(ISNUMBER(SEARCH("UV",D14)),"UV-C COMPONENTS",IF(ISNUMBER(SEARCH("CMW",D14)),"WATERWASH COMPONENTS",""))</f>
        <v/>
      </c>
      <c r="C24" s="761" t="str">
        <f>IF(H12=0,"UVR",IF(I14=0,"UVR",IF(I24&gt;0,("UVR")&amp;(INDEX('Base Costs'!$AH$5:$AI$10,(MATCH((I14/H12),'Base Costs'!$AI$5:$AI$10,-1)),1))&amp;("-")&amp;(H12),"UVR")))</f>
        <v>UVR</v>
      </c>
      <c r="D24" s="762" t="str">
        <f>VLOOKUP(C24,'Base Costs'!$Z$4:$AF$77,7,FALSE)&amp;" m³/s"</f>
        <v xml:space="preserve"> m³/s</v>
      </c>
      <c r="E24" s="763" t="str">
        <f>IF(ISNUMBER(SEARCH("L",C24)),"LONG RACK IN SECTION","SHORTRACK")</f>
        <v>SHORTRACK</v>
      </c>
      <c r="F24" s="764" t="str">
        <f>IF(ISNUMBER(SEARCH("L",C24)),ROUND(F14/H14,1)&amp;" mm","")</f>
        <v/>
      </c>
      <c r="G24" s="754"/>
      <c r="H24" s="754"/>
      <c r="I24" s="751">
        <f>IF(ISNUMBER(SEARCH("UV",D14)),1, 0)</f>
        <v>0</v>
      </c>
      <c r="J24" s="735">
        <f>IF(ISNA(C24),0,VLOOKUP(C24,'Base Costs'!$Z$4:$AF$77,2,FALSE))</f>
        <v>0</v>
      </c>
      <c r="K24" s="736">
        <f t="shared" si="2"/>
        <v>0</v>
      </c>
      <c r="L24" s="737">
        <v>0.44</v>
      </c>
      <c r="M24" s="738">
        <f t="shared" si="0"/>
        <v>0</v>
      </c>
      <c r="N24" s="736">
        <f>M24*VLOOKUP($B$9,'Base Costs'!$A$32:$B$37,2,FALSE)</f>
        <v>0</v>
      </c>
      <c r="O24" s="739">
        <f t="shared" si="1"/>
        <v>0</v>
      </c>
      <c r="R24" s="932"/>
      <c r="S24" s="693"/>
      <c r="Y24" s="672"/>
    </row>
    <row r="25" spans="1:26" ht="15" customHeight="1" outlineLevel="1" x14ac:dyDescent="0.15">
      <c r="B25" s="730" t="str">
        <f>IF(ISNUMBER(SEARCH("UV",D14)),"UV-C 2ND FILTER",IF(ISNUMBER(SEARCH("CMW",D14)),"CONTROL PANEL",""))</f>
        <v/>
      </c>
      <c r="C25" s="758" t="s">
        <v>588</v>
      </c>
      <c r="D25" s="760" t="str">
        <f>IF(ISNUMBER(SEARCH("CP1S",$C25)),"Up to 12m of canopy","")</f>
        <v/>
      </c>
      <c r="E25" s="760" t="str">
        <f>IF(ISNUMBER(SEARCH("CMW",$D14)),"CWS REQUIREMENT @ 2Bar","")</f>
        <v/>
      </c>
      <c r="F25" s="765" t="str">
        <f>IF(ISNUMBER(SEARCH("CMW",$D14)),$F14/1000*0.02&amp;" L/S","")</f>
        <v/>
      </c>
      <c r="G25" s="32"/>
      <c r="H25" s="750"/>
      <c r="I25" s="751">
        <f>C22</f>
        <v>0</v>
      </c>
      <c r="J25" s="735">
        <f>IF(ISNUMBER(SEARCH("CMW",D14)),VLOOKUP(C25,CCBASE!$A$81:$B$85,2,FALSE),(IF(I24&gt;0,'Base Costs'!$R$7,0)))</f>
        <v>0</v>
      </c>
      <c r="K25" s="736">
        <f>J25*C22</f>
        <v>0</v>
      </c>
      <c r="L25" s="737">
        <v>0.44</v>
      </c>
      <c r="M25" s="738">
        <f t="shared" si="0"/>
        <v>0</v>
      </c>
      <c r="N25" s="736">
        <f>M25*VLOOKUP($B$9,'Base Costs'!$A$32:$B$37,2,FALSE)</f>
        <v>0</v>
      </c>
      <c r="O25" s="739">
        <f t="shared" si="1"/>
        <v>0</v>
      </c>
      <c r="P25" s="840"/>
      <c r="S25" s="693"/>
      <c r="Y25" s="672"/>
    </row>
    <row r="26" spans="1:26" ht="15" customHeight="1" outlineLevel="1" x14ac:dyDescent="0.15">
      <c r="A26" s="665">
        <v>285</v>
      </c>
      <c r="B26" s="730" t="str">
        <f>IF(ISNUMBER(SEARCH("UV",D14)),"UV-C WORKSHOP WIRING",IF(ISNUMBER(SEARCH("CMW",D14)),"W/W PODS",""))</f>
        <v/>
      </c>
      <c r="C26" s="758" t="s">
        <v>714</v>
      </c>
      <c r="D26" s="758">
        <v>0</v>
      </c>
      <c r="E26" s="760" t="str">
        <f>IF(ISNUMBER(SEARCH("CMW",$D14)),"HWS REQUIREMENT @ 60°C ","")</f>
        <v/>
      </c>
      <c r="F26" s="766" t="str">
        <f>IF(ISNUMBER(SEARCH("CMW",$D14)),$F14/1000*0.103&amp;" L/S","")</f>
        <v/>
      </c>
      <c r="G26" s="754"/>
      <c r="H26" s="750"/>
      <c r="I26" s="751">
        <f>IF(I24&gt;0,H12,0)</f>
        <v>0</v>
      </c>
      <c r="J26" s="735">
        <f>IF(ISNUMBER(SEARCH("CMW",D14)),VLOOKUP(C26,'Base Costs'!$Q$35:$R$45,2,FALSE),IF(I26=0,0,36*1.03))</f>
        <v>0</v>
      </c>
      <c r="K26" s="736">
        <f>IF(ISNUMBER(SEARCH("CMW",D14)),J26*D26,J26*H12)</f>
        <v>0</v>
      </c>
      <c r="L26" s="737">
        <v>0.44</v>
      </c>
      <c r="M26" s="738">
        <f t="shared" si="0"/>
        <v>0</v>
      </c>
      <c r="N26" s="736">
        <f>M26*VLOOKUP($B$9,'Base Costs'!$A$32:$B$37,2,FALSE)</f>
        <v>0</v>
      </c>
      <c r="O26" s="739">
        <f t="shared" si="1"/>
        <v>0</v>
      </c>
      <c r="S26" s="693"/>
      <c r="Y26" s="672"/>
    </row>
    <row r="27" spans="1:26" ht="15" customHeight="1" outlineLevel="1" x14ac:dyDescent="0.15">
      <c r="A27" s="665">
        <v>286</v>
      </c>
      <c r="B27" s="730" t="str">
        <f>IF(ISNUMBER(SEARCH("CMW",$D14)),"CWS/HWS PIPEWORK UP TO 5M",IF(ISNUMBER(SEARCH("UV",$D14)),"MU5 INTERFACE", ""))</f>
        <v/>
      </c>
      <c r="C27" s="758">
        <v>1</v>
      </c>
      <c r="D27" s="767"/>
      <c r="E27" s="760" t="str">
        <f>IF(ISNUMBER(SEARCH("CMW",$D14)),"HW STORAGE 3m wash","")</f>
        <v/>
      </c>
      <c r="F27" s="765" t="str">
        <f>IF(ISNUMBER(SEARCH("CMW",$D14)),($F14/1000)*0.103*180&amp;" L","")</f>
        <v/>
      </c>
      <c r="G27" s="749"/>
      <c r="H27" s="750"/>
      <c r="I27" s="751">
        <f>IF(I24=0,0,1)</f>
        <v>0</v>
      </c>
      <c r="J27" s="735">
        <f>IF(B27="CWS/HWS PIPEWORK UP TO 5M",CCBASE!$B$65,IF(I27=0,0,100*1.44))</f>
        <v>0</v>
      </c>
      <c r="K27" s="736">
        <f>J27*C27</f>
        <v>0</v>
      </c>
      <c r="L27" s="737">
        <v>0.44</v>
      </c>
      <c r="M27" s="738">
        <f t="shared" si="0"/>
        <v>0</v>
      </c>
      <c r="N27" s="736">
        <f>M27*VLOOKUP($B$9,'Base Costs'!$A$32:$B$37,2,FALSE)</f>
        <v>0</v>
      </c>
      <c r="O27" s="739">
        <f t="shared" si="1"/>
        <v>0</v>
      </c>
      <c r="S27" s="693"/>
      <c r="Y27" s="672"/>
    </row>
    <row r="28" spans="1:26" s="673" customFormat="1" ht="15" customHeight="1" x14ac:dyDescent="0.15">
      <c r="A28" s="665"/>
      <c r="B28" s="713"/>
      <c r="C28" s="714"/>
      <c r="D28" s="714"/>
      <c r="E28" s="714"/>
      <c r="F28" s="714"/>
      <c r="G28" s="715" t="s">
        <v>347</v>
      </c>
      <c r="H28" s="714"/>
      <c r="I28" s="715">
        <f>IF(ISNUMBER(SEARCH("UV",D31)),49.7,71.75)</f>
        <v>71.75</v>
      </c>
      <c r="J28" s="716"/>
      <c r="K28" s="713"/>
      <c r="L28" s="717"/>
      <c r="M28" s="718"/>
      <c r="N28" s="716"/>
      <c r="O28" s="685"/>
      <c r="P28" s="672"/>
      <c r="Q28" s="672"/>
      <c r="R28" s="672"/>
      <c r="S28" s="712"/>
      <c r="T28" s="672"/>
      <c r="X28" s="672"/>
      <c r="Y28" s="672"/>
      <c r="Z28" s="672"/>
    </row>
    <row r="29" spans="1:26" s="673" customFormat="1" ht="15" customHeight="1" x14ac:dyDescent="0.15">
      <c r="A29" s="665"/>
      <c r="B29" s="241" t="s">
        <v>0</v>
      </c>
      <c r="C29" s="719">
        <f>IF(H29&lt;1,0,(((VLOOKUP(G29,CC!$D$2:$F$670,3,FALSE))*H29)+IF(ISNUMBER(SEARCH("CMW",D31)),VLOOKUP(C42,CCBASE!$A$81:$C$85,3,FALSE),0)+(VLOOKUP(C34,CCBASE!$A$53:$C$73,3,FALSE)*D34)+(VLOOKUP(C35,CCBASE!$A$53:$C$73,3,FALSE)*D35))&amp;" HRS")</f>
        <v>0</v>
      </c>
      <c r="D29" s="720" t="str">
        <f>D31</f>
        <v>CANOPY TYPE</v>
      </c>
      <c r="E29" s="701">
        <f>CEILING(IF(C31="WALL",E31, (E31/2)),250)</f>
        <v>0</v>
      </c>
      <c r="F29" s="701">
        <f>IF(H29&lt;1,0,CEILING((F31-100)/H31,250))</f>
        <v>0</v>
      </c>
      <c r="G29" s="720" t="str">
        <f>D29&amp;F29&amp;E29</f>
        <v>CANOPY TYPE00</v>
      </c>
      <c r="H29" s="719">
        <f>IF(E31=0,0,IF(F31=0,0,(E31/(IF(C31="WALL",E31,(E31/2)))*H31)))</f>
        <v>0</v>
      </c>
      <c r="I29" s="719" t="str">
        <f>I31&amp;" m³/s"</f>
        <v xml:space="preserve"> m³/s</v>
      </c>
      <c r="J29" s="721"/>
      <c r="K29" s="722">
        <f>SUBTOTAL(9,K31:K44)</f>
        <v>0</v>
      </c>
      <c r="L29" s="703" t="str">
        <f>IF(K29=0,"-",O29/M29)</f>
        <v>-</v>
      </c>
      <c r="M29" s="722">
        <f>SUBTOTAL(9,M31:M44)</f>
        <v>0</v>
      </c>
      <c r="N29" s="704">
        <f>SUBTOTAL(9,N31:N44)</f>
        <v>0</v>
      </c>
      <c r="O29" s="722">
        <f>SUBTOTAL(9,O31:O44)</f>
        <v>0</v>
      </c>
      <c r="P29" s="672"/>
      <c r="Q29" s="672"/>
      <c r="R29" s="672"/>
      <c r="S29" s="712"/>
      <c r="T29" s="672"/>
      <c r="X29" s="672"/>
      <c r="Y29" s="672"/>
      <c r="Z29" s="672"/>
    </row>
    <row r="30" spans="1:26" ht="15" hidden="1" customHeight="1" outlineLevel="1" x14ac:dyDescent="0.15">
      <c r="B30" s="723"/>
      <c r="C30" s="724" t="s">
        <v>198</v>
      </c>
      <c r="D30" s="725" t="s">
        <v>255</v>
      </c>
      <c r="E30" s="724" t="s">
        <v>128</v>
      </c>
      <c r="F30" s="724" t="s">
        <v>129</v>
      </c>
      <c r="G30" s="724" t="s">
        <v>172</v>
      </c>
      <c r="H30" s="724" t="s">
        <v>197</v>
      </c>
      <c r="I30" s="725"/>
      <c r="J30" s="726"/>
      <c r="K30" s="727"/>
      <c r="L30" s="727"/>
      <c r="M30" s="728"/>
      <c r="N30" s="729"/>
      <c r="O30" s="711"/>
      <c r="S30" s="693"/>
      <c r="Y30" s="672"/>
    </row>
    <row r="31" spans="1:26" ht="15" hidden="1" customHeight="1" outlineLevel="1" x14ac:dyDescent="0.2">
      <c r="A31" s="665">
        <v>210</v>
      </c>
      <c r="B31" s="730" t="s">
        <v>182</v>
      </c>
      <c r="C31" s="731" t="s">
        <v>183</v>
      </c>
      <c r="D31" s="732" t="s">
        <v>130</v>
      </c>
      <c r="E31" s="733"/>
      <c r="F31" s="733"/>
      <c r="G31" s="733"/>
      <c r="H31" s="734"/>
      <c r="I31" s="733"/>
      <c r="J31" s="735">
        <f>IF(ISNA(C29),0,IF(F29&gt;3000,0,(IF(H29&lt;1,0,((VLOOKUP(G29,CC!$D$2:$E$670,2,FALSE))*H29)+((VLOOKUP(G29,CC!$D$2:$AD$670,17,FALSE)*(H29/H31)))))))</f>
        <v>0</v>
      </c>
      <c r="K31" s="736">
        <f>J31*1</f>
        <v>0</v>
      </c>
      <c r="L31" s="737">
        <v>0.44</v>
      </c>
      <c r="M31" s="738">
        <f t="shared" ref="M31:M44" si="3">K31/(1-L31)*(1+$C$9)</f>
        <v>0</v>
      </c>
      <c r="N31" s="736">
        <f>M31*VLOOKUP($B$9,'Base Costs'!$A$32:$B$37,2,FALSE)</f>
        <v>0</v>
      </c>
      <c r="O31" s="739">
        <f t="shared" ref="O31:O35" si="4">M31-K31</f>
        <v>0</v>
      </c>
      <c r="S31" s="693"/>
      <c r="Y31" s="672"/>
    </row>
    <row r="32" spans="1:26" ht="15" hidden="1" customHeight="1" outlineLevel="1" x14ac:dyDescent="0.15">
      <c r="A32" s="665">
        <v>104</v>
      </c>
      <c r="B32" s="730" t="s">
        <v>4</v>
      </c>
      <c r="C32" s="732" t="s">
        <v>185</v>
      </c>
      <c r="D32" s="740"/>
      <c r="E32" s="741"/>
      <c r="F32" s="742"/>
      <c r="G32" s="743"/>
      <c r="H32" s="667"/>
      <c r="I32" s="667"/>
      <c r="J32" s="735">
        <f>IF(ISNA(C29),0,IF(D32=0,0,IF(C32="FLO",VLOOKUP(E32,'Base Costs'!$M$4:$N$14,2,FALSE),IF(C32="LED STRIP",VLOOKUP(E32,'Base Costs'!$M$4:$N$14,2,FALSE),(VLOOKUP(C32,'Base Costs'!$M$4:$N$14,2,FALSE))))))</f>
        <v>0</v>
      </c>
      <c r="K32" s="736">
        <f>J32*D32</f>
        <v>0</v>
      </c>
      <c r="L32" s="737">
        <v>0.31</v>
      </c>
      <c r="M32" s="738">
        <f t="shared" si="3"/>
        <v>0</v>
      </c>
      <c r="N32" s="736">
        <f>M32*VLOOKUP($B$9,'Base Costs'!$A$32:$B$37,2,FALSE)</f>
        <v>0</v>
      </c>
      <c r="O32" s="739">
        <f t="shared" si="4"/>
        <v>0</v>
      </c>
      <c r="P32" s="744"/>
      <c r="S32" s="693"/>
      <c r="Y32" s="672"/>
    </row>
    <row r="33" spans="1:26" ht="15" hidden="1" customHeight="1" outlineLevel="1" x14ac:dyDescent="0.15">
      <c r="A33" s="665">
        <v>234</v>
      </c>
      <c r="B33" s="269" t="s">
        <v>839</v>
      </c>
      <c r="C33" s="958" t="s">
        <v>839</v>
      </c>
      <c r="D33" s="746"/>
      <c r="E33" s="747"/>
      <c r="F33" s="748"/>
      <c r="G33" s="749"/>
      <c r="H33" s="750"/>
      <c r="I33" s="751">
        <v>1</v>
      </c>
      <c r="J33" s="735">
        <f>VLOOKUP(C33,'Base Costs'!$U$4:$V$41,2,FALSE)</f>
        <v>0</v>
      </c>
      <c r="K33" s="736">
        <f t="shared" ref="K33" si="5">J33*1</f>
        <v>0</v>
      </c>
      <c r="L33" s="737">
        <v>0.25</v>
      </c>
      <c r="M33" s="738">
        <f t="shared" si="3"/>
        <v>0</v>
      </c>
      <c r="N33" s="736">
        <f>M33*VLOOKUP($B$9,'Base Costs'!$A$32:$B$37,2,FALSE)</f>
        <v>0</v>
      </c>
      <c r="O33" s="739">
        <f t="shared" si="4"/>
        <v>0</v>
      </c>
      <c r="S33" s="693"/>
      <c r="Y33" s="672"/>
    </row>
    <row r="34" spans="1:26" ht="15" hidden="1" customHeight="1" outlineLevel="1" x14ac:dyDescent="0.15">
      <c r="B34" s="269" t="s">
        <v>1396</v>
      </c>
      <c r="C34" s="958" t="s">
        <v>1396</v>
      </c>
      <c r="D34" s="972">
        <v>1</v>
      </c>
      <c r="E34" s="753"/>
      <c r="F34" s="754"/>
      <c r="G34" s="749"/>
      <c r="H34" s="750"/>
      <c r="I34" s="755"/>
      <c r="J34" s="735">
        <f>VLOOKUP(C34,'Base Costs'!$U$44:$V$56,2,FALSE)</f>
        <v>0</v>
      </c>
      <c r="K34" s="736">
        <f>J34*D34</f>
        <v>0</v>
      </c>
      <c r="L34" s="737">
        <v>0.35</v>
      </c>
      <c r="M34" s="738">
        <f t="shared" si="3"/>
        <v>0</v>
      </c>
      <c r="N34" s="736">
        <f>M34*VLOOKUP($B$9,'Base Costs'!$A$32:$B$37,2,FALSE)</f>
        <v>0</v>
      </c>
      <c r="O34" s="739">
        <f t="shared" si="4"/>
        <v>0</v>
      </c>
      <c r="S34" s="693"/>
      <c r="Y34" s="672"/>
    </row>
    <row r="35" spans="1:26" ht="15" hidden="1" customHeight="1" outlineLevel="1" x14ac:dyDescent="0.15">
      <c r="B35" s="269" t="s">
        <v>339</v>
      </c>
      <c r="C35" s="752" t="s">
        <v>342</v>
      </c>
      <c r="D35" s="734"/>
      <c r="E35" s="1104"/>
      <c r="F35" s="1105"/>
      <c r="G35" s="749"/>
      <c r="H35" s="750"/>
      <c r="I35" s="755"/>
      <c r="J35" s="735">
        <f>IF(C35="",0,VLOOKUP(C35,CCBASE!$A$53:$C$73,2,FALSE))</f>
        <v>0</v>
      </c>
      <c r="K35" s="736">
        <f>J35*D35</f>
        <v>0</v>
      </c>
      <c r="L35" s="737">
        <v>0.44</v>
      </c>
      <c r="M35" s="738">
        <f t="shared" si="3"/>
        <v>0</v>
      </c>
      <c r="N35" s="736">
        <f>M35*VLOOKUP($B$9,'Base Costs'!$A$32:$B$37,2,FALSE)</f>
        <v>0</v>
      </c>
      <c r="O35" s="739">
        <f t="shared" si="4"/>
        <v>0</v>
      </c>
      <c r="S35" s="693"/>
      <c r="Y35" s="672"/>
    </row>
    <row r="36" spans="1:26" ht="15" hidden="1" customHeight="1" outlineLevel="1" x14ac:dyDescent="0.15">
      <c r="A36" s="665">
        <v>289</v>
      </c>
      <c r="B36" s="730" t="s">
        <v>9</v>
      </c>
      <c r="C36" s="752" t="s">
        <v>565</v>
      </c>
      <c r="D36" s="756">
        <f>ROUNDUP($F31/1000,0)</f>
        <v>0</v>
      </c>
      <c r="E36" s="1107" t="s">
        <v>1059</v>
      </c>
      <c r="F36" s="1105"/>
      <c r="G36" s="754"/>
      <c r="H36" s="750"/>
      <c r="I36" s="755"/>
      <c r="J36" s="735">
        <f>IF(D36=0,0,VLOOKUP(C36,'Base Costs'!$A$19:$B$22,2,FALSE))</f>
        <v>0</v>
      </c>
      <c r="K36" s="736">
        <f>J36*D36</f>
        <v>0</v>
      </c>
      <c r="L36" s="737">
        <v>0.44</v>
      </c>
      <c r="M36" s="738">
        <f t="shared" si="3"/>
        <v>0</v>
      </c>
      <c r="N36" s="736">
        <f>M36*VLOOKUP($B$9,'Base Costs'!$A$32:$B$37,2,FALSE)</f>
        <v>0</v>
      </c>
      <c r="O36" s="739">
        <f>M36-K36</f>
        <v>0</v>
      </c>
      <c r="S36" s="693"/>
      <c r="Y36" s="672"/>
    </row>
    <row r="37" spans="1:26" ht="15" hidden="1" customHeight="1" outlineLevel="1" x14ac:dyDescent="0.15">
      <c r="A37" s="665">
        <v>242</v>
      </c>
      <c r="B37" s="730" t="s">
        <v>44</v>
      </c>
      <c r="C37" s="752"/>
      <c r="D37" s="741" t="s">
        <v>335</v>
      </c>
      <c r="E37" s="749" t="s">
        <v>718</v>
      </c>
      <c r="F37" s="748"/>
      <c r="G37" s="749"/>
      <c r="H37" s="750"/>
      <c r="I37" s="755"/>
      <c r="J37" s="735">
        <f>IF(C37=0,0,'Base Costs'!$B$26)</f>
        <v>0</v>
      </c>
      <c r="K37" s="736">
        <f>J37*C37</f>
        <v>0</v>
      </c>
      <c r="L37" s="737">
        <v>0.44</v>
      </c>
      <c r="M37" s="738">
        <f t="shared" si="3"/>
        <v>0</v>
      </c>
      <c r="N37" s="736">
        <f>M37*VLOOKUP($B$9,'Base Costs'!$A$32:$B$37,2,FALSE)</f>
        <v>0</v>
      </c>
      <c r="O37" s="739">
        <f t="shared" ref="O37:O44" si="6">M37-K37</f>
        <v>0</v>
      </c>
      <c r="S37" s="693"/>
      <c r="Y37" s="672"/>
    </row>
    <row r="38" spans="1:26" ht="15" hidden="1" customHeight="1" outlineLevel="1" x14ac:dyDescent="0.15">
      <c r="A38" s="665">
        <v>220</v>
      </c>
      <c r="B38" s="730" t="s">
        <v>43</v>
      </c>
      <c r="C38" s="752"/>
      <c r="D38" s="741" t="s">
        <v>336</v>
      </c>
      <c r="E38" s="748"/>
      <c r="F38" s="748"/>
      <c r="G38" s="757" t="str">
        <f>IF(ISNUMBER(SEARCH("KSA",$D39)),"MAX. EXTRACT (m³/s)", "")</f>
        <v/>
      </c>
      <c r="H38" s="1102" t="str">
        <f>IF(ISNUMBER(SEARCH("MUAP",$D31)),"MAX.  SUPPLY (m³/s)",IF(ISNUMBER(SEARCH("SPECIAL",$D31)),"MAX.  SUPPLY (m³/s)",(IF(ISNUMBER(SEARCH("F",$D31)),"MAX.  SUPPLY (m³/s)",""))))</f>
        <v/>
      </c>
      <c r="I38" s="1102"/>
      <c r="J38" s="735">
        <f>IF(C38=0,0,'Base Costs'!$B$29)</f>
        <v>0</v>
      </c>
      <c r="K38" s="736">
        <f>J38*C38</f>
        <v>0</v>
      </c>
      <c r="L38" s="737">
        <v>0.44</v>
      </c>
      <c r="M38" s="738">
        <f t="shared" si="3"/>
        <v>0</v>
      </c>
      <c r="N38" s="736">
        <f>M38*VLOOKUP($B$9,'Base Costs'!$A$32:$B$37,2,FALSE)</f>
        <v>0</v>
      </c>
      <c r="O38" s="739">
        <f t="shared" si="6"/>
        <v>0</v>
      </c>
      <c r="S38" s="693"/>
      <c r="Y38" s="672"/>
    </row>
    <row r="39" spans="1:26" ht="15" hidden="1" customHeight="1" outlineLevel="1" x14ac:dyDescent="0.15">
      <c r="A39" s="665">
        <v>103</v>
      </c>
      <c r="B39" s="730" t="s">
        <v>3</v>
      </c>
      <c r="C39" s="740">
        <f>IF(ISNUMBER(SEARCH("CMW",D31)),1,IF(F29=0,0,(ROUNDDOWN(((((F31-(100+(50*H29))))/H31)/500),0)*H29)))</f>
        <v>0</v>
      </c>
      <c r="D39" s="741" t="str">
        <f>VLOOKUP(D31,'Base Costs'!$A$39:$B$58,2,FALSE)</f>
        <v>FILTER TYPE</v>
      </c>
      <c r="E39" s="758" t="str">
        <f>IF(C39=0,0,IF(D39="KSA",ROUND(I31/C39,3),""))&amp; "  m³/s per filter"</f>
        <v>0  m³/s per filter</v>
      </c>
      <c r="F39" s="758" t="str">
        <f>IF(C39=0," Pa",ROUND((((I31*3600)/(C39*I28))^2),1)+20&amp; " Pa")</f>
        <v xml:space="preserve"> Pa</v>
      </c>
      <c r="G39" s="759" t="str">
        <f>IF(ISNUMBER(SEARCH("KSA",$D39)),$C39*0.25, "")</f>
        <v/>
      </c>
      <c r="H39" s="1103" t="str">
        <f>IF(ISNUMBER(SEARCH("MUAP",$D31)),0.225*($F31/1000),IF(ISNUMBER(SEARCH("SPECIAL",$D31)),0.225*($F31/1000),(IF(ISNUMBER(SEARCH("F",$D31)),0.225*($F31/1000),""))))</f>
        <v/>
      </c>
      <c r="I39" s="1103"/>
      <c r="J39" s="735">
        <f>IF(ISNA(D39),0,(VLOOKUP(D39,'Base Costs'!$Q$4:$R$11,2,FALSE)))</f>
        <v>0</v>
      </c>
      <c r="K39" s="736">
        <f>IF(ISNA(D39),0,IF(D39="MX",J39*1,J39*C39))</f>
        <v>0</v>
      </c>
      <c r="L39" s="737">
        <v>0.44</v>
      </c>
      <c r="M39" s="738">
        <f t="shared" si="3"/>
        <v>0</v>
      </c>
      <c r="N39" s="736">
        <f>M39*VLOOKUP($B$9,'Base Costs'!$A$32:$B$37,2,FALSE)</f>
        <v>0</v>
      </c>
      <c r="O39" s="739">
        <f t="shared" si="6"/>
        <v>0</v>
      </c>
      <c r="S39" s="693"/>
      <c r="Y39" s="672"/>
    </row>
    <row r="40" spans="1:26" ht="15" hidden="1" customHeight="1" outlineLevel="1" x14ac:dyDescent="0.15">
      <c r="B40" s="269" t="s">
        <v>1351</v>
      </c>
      <c r="C40" s="740">
        <v>0</v>
      </c>
      <c r="D40" s="856" t="str">
        <f>VLOOKUP(D31,'Base Costs'!$A$39:$C$58,3,FALSE)</f>
        <v>PSU</v>
      </c>
      <c r="E40" s="758" t="str">
        <f>IF(C40=0,0,IF(D40="PSU",ROUND(I31/C40,3),""))&amp; " m³/s per filter"</f>
        <v>0 m³/s per filter</v>
      </c>
      <c r="F40" s="758" t="str">
        <f>IF(C40=0," Pa",ROUND((((I31*3600)/(C40*I28))^2),1)+20&amp; " Pa")</f>
        <v xml:space="preserve"> Pa</v>
      </c>
      <c r="G40" s="759" t="str">
        <f>IF(ISNUMBER(SEARCH("KSA",$D40)),$C40*0.25, "")</f>
        <v/>
      </c>
      <c r="H40" s="1103" t="str">
        <f>IF(ISNUMBER(SEARCH("MUAP",$D31)),0.225*($F31/1000),IF(ISNUMBER(SEARCH("SPECIAL",$D31)),0.225*($F31/1000),(IF(ISNUMBER(SEARCH("F",$D31)),0.225*($F31/1000),""))))</f>
        <v/>
      </c>
      <c r="I40" s="1103"/>
      <c r="J40" s="735"/>
      <c r="K40" s="736">
        <f>IF(ISNA(D40),0,IF(D40="MX",J40*1,J40*C40))</f>
        <v>0</v>
      </c>
      <c r="L40" s="737">
        <v>0.44</v>
      </c>
      <c r="M40" s="738">
        <f t="shared" si="3"/>
        <v>0</v>
      </c>
      <c r="N40" s="736">
        <f>M40*VLOOKUP($B$9,'Base Costs'!$A$32:$B$37,2,FALSE)</f>
        <v>0</v>
      </c>
      <c r="O40" s="739">
        <f t="shared" si="6"/>
        <v>0</v>
      </c>
      <c r="S40" s="693"/>
      <c r="Y40" s="672"/>
    </row>
    <row r="41" spans="1:26" ht="15" hidden="1" customHeight="1" outlineLevel="1" x14ac:dyDescent="0.15">
      <c r="A41" s="665">
        <v>107</v>
      </c>
      <c r="B41" s="760" t="str">
        <f>IF(ISNUMBER(SEARCH("UV",D31)),"UV-C COMPONENTS",IF(ISNUMBER(SEARCH("CMW",D31)),"WATERWASH COMPONENTS",""))</f>
        <v/>
      </c>
      <c r="C41" s="761" t="str">
        <f>IF(H29=0,"UVR",IF(I31=0,"UVR",IF(I41&gt;0,("UVR")&amp;(INDEX('Base Costs'!$AH$5:$AI$10,(MATCH((I31/H29),'Base Costs'!$AI$5:$AI$10,-1)),1))&amp;("-")&amp;(H29),"UVR")))</f>
        <v>UVR</v>
      </c>
      <c r="D41" s="769" t="str">
        <f>VLOOKUP(C41,'Base Costs'!$Z$4:$AF$77,7,FALSE)&amp;" m³/s"</f>
        <v xml:space="preserve"> m³/s</v>
      </c>
      <c r="E41" s="763" t="str">
        <f>IF(ISNUMBER(SEARCH("L",C41)),"LONG RACK IN SECTION","SHORTRACK")</f>
        <v>SHORTRACK</v>
      </c>
      <c r="F41" s="764" t="str">
        <f>IF(ISNUMBER(SEARCH("L",C41)),ROUND(F31/H31,1)&amp;" mm","")</f>
        <v/>
      </c>
      <c r="G41" s="754"/>
      <c r="H41" s="754"/>
      <c r="I41" s="751">
        <f>IF(ISNUMBER(SEARCH("UV",D31)),1, 0)</f>
        <v>0</v>
      </c>
      <c r="J41" s="735">
        <f>IF(ISNA(C41),0,VLOOKUP(C41,'Base Costs'!$Z$4:$AF$77,2,FALSE))</f>
        <v>0</v>
      </c>
      <c r="K41" s="736">
        <f t="shared" ref="K41" si="7">J41*1</f>
        <v>0</v>
      </c>
      <c r="L41" s="737">
        <v>0.44</v>
      </c>
      <c r="M41" s="738">
        <f t="shared" si="3"/>
        <v>0</v>
      </c>
      <c r="N41" s="736">
        <f>M41*VLOOKUP($B$9,'Base Costs'!$A$32:$B$37,2,FALSE)</f>
        <v>0</v>
      </c>
      <c r="O41" s="739">
        <f t="shared" si="6"/>
        <v>0</v>
      </c>
      <c r="S41" s="693"/>
      <c r="Y41" s="672"/>
    </row>
    <row r="42" spans="1:26" ht="15" hidden="1" customHeight="1" outlineLevel="1" x14ac:dyDescent="0.15">
      <c r="B42" s="730" t="str">
        <f>IF(ISNUMBER(SEARCH("UV",D31)),"UV-C 2ND FILTER",IF(ISNUMBER(SEARCH("CMW",D31)),"CONTROL PANEL",""))</f>
        <v/>
      </c>
      <c r="C42" s="758" t="s">
        <v>588</v>
      </c>
      <c r="D42" s="760" t="str">
        <f>IF(ISNUMBER(SEARCH("CP1S",$C42)),"Up to 12m of canopy","")</f>
        <v/>
      </c>
      <c r="E42" s="760" t="str">
        <f>IF(ISNUMBER(SEARCH("CMW",$D31)),"CWS REQUIREMENT @ 2Bar","")</f>
        <v/>
      </c>
      <c r="F42" s="765" t="str">
        <f>IF(ISNUMBER(SEARCH("CMW",$D31)),$F31/1000*0.02&amp;" L/S","")</f>
        <v/>
      </c>
      <c r="G42" s="754"/>
      <c r="H42" s="750"/>
      <c r="I42" s="751">
        <f>C39</f>
        <v>0</v>
      </c>
      <c r="J42" s="735">
        <f>IF(ISNUMBER(SEARCH("CMW",D31)),VLOOKUP(C42,CCBASE!$A$81:$B$85,2,FALSE),(IF(I41&gt;0,'Base Costs'!$R$7,0)))</f>
        <v>0</v>
      </c>
      <c r="K42" s="736">
        <f>J42*C39</f>
        <v>0</v>
      </c>
      <c r="L42" s="737">
        <v>0.44</v>
      </c>
      <c r="M42" s="738">
        <f t="shared" si="3"/>
        <v>0</v>
      </c>
      <c r="N42" s="736">
        <f>M42*VLOOKUP($B$9,'Base Costs'!$A$32:$B$37,2,FALSE)</f>
        <v>0</v>
      </c>
      <c r="O42" s="739">
        <f t="shared" si="6"/>
        <v>0</v>
      </c>
      <c r="P42" s="840"/>
      <c r="S42" s="693"/>
      <c r="Y42" s="672"/>
    </row>
    <row r="43" spans="1:26" ht="15" hidden="1" customHeight="1" outlineLevel="1" x14ac:dyDescent="0.15">
      <c r="A43" s="665">
        <v>285</v>
      </c>
      <c r="B43" s="730" t="str">
        <f>IF(ISNUMBER(SEARCH("UV",D31)),"UV-C WORKSHOP WIRING",IF(ISNUMBER(SEARCH("CMW",D31)),"W/W PODS",""))</f>
        <v/>
      </c>
      <c r="C43" s="758" t="s">
        <v>714</v>
      </c>
      <c r="D43" s="758">
        <v>0</v>
      </c>
      <c r="E43" s="760" t="str">
        <f>IF(ISNUMBER(SEARCH("CMW",$D31)),"HWS REQUIREMENT @ 60°C ","")</f>
        <v/>
      </c>
      <c r="F43" s="766" t="str">
        <f>IF(ISNUMBER(SEARCH("CMW",$D31)),$F31/1000*0.103&amp;" L/S","")</f>
        <v/>
      </c>
      <c r="G43" s="754"/>
      <c r="H43" s="750"/>
      <c r="I43" s="751">
        <f>IF(I41&gt;0,H29,0)</f>
        <v>0</v>
      </c>
      <c r="J43" s="735">
        <f>IF(ISNUMBER(SEARCH("CMW",D31)),VLOOKUP(C43,'Base Costs'!$Q$35:$R$45,2,FALSE),IF(I43=0,0,36*1.03))</f>
        <v>0</v>
      </c>
      <c r="K43" s="736">
        <f>IF(ISNUMBER(SEARCH("CMW",D31)),J43*D43,J43*H29)</f>
        <v>0</v>
      </c>
      <c r="L43" s="737">
        <v>0.44</v>
      </c>
      <c r="M43" s="738">
        <f t="shared" si="3"/>
        <v>0</v>
      </c>
      <c r="N43" s="736">
        <f>M43*VLOOKUP($B$9,'Base Costs'!$A$32:$B$37,2,FALSE)</f>
        <v>0</v>
      </c>
      <c r="O43" s="739">
        <f t="shared" si="6"/>
        <v>0</v>
      </c>
      <c r="S43" s="693"/>
      <c r="Y43" s="672"/>
    </row>
    <row r="44" spans="1:26" ht="15" hidden="1" customHeight="1" outlineLevel="1" x14ac:dyDescent="0.15">
      <c r="A44" s="665">
        <v>286</v>
      </c>
      <c r="B44" s="730" t="str">
        <f>IF(ISNUMBER(SEARCH("CMW",$D31)),"CWS/HWS PIPEWORK UP TO 5M",IF(ISNUMBER(SEARCH("UV",$D31)),"MU5 INTERFACE", ""))</f>
        <v/>
      </c>
      <c r="C44" s="758">
        <v>1</v>
      </c>
      <c r="D44" s="767"/>
      <c r="E44" s="760" t="str">
        <f>IF(ISNUMBER(SEARCH("CMW",$D31)),"HW STORAGE 3m wash","")</f>
        <v/>
      </c>
      <c r="F44" s="765" t="str">
        <f>IF(ISNUMBER(SEARCH("CMW",$D31)),($F31/1000)*0.103*180&amp;" L","")</f>
        <v/>
      </c>
      <c r="G44" s="749"/>
      <c r="H44" s="750"/>
      <c r="I44" s="751">
        <f>IF(I41=0,0,1)</f>
        <v>0</v>
      </c>
      <c r="J44" s="735">
        <f>IF(B44="CWS/HWS PIPEWORK UP TO 5M",CCBASE!$B$65,IF(I44=0,0,100*1.44))</f>
        <v>0</v>
      </c>
      <c r="K44" s="736">
        <f>J44*C44</f>
        <v>0</v>
      </c>
      <c r="L44" s="737">
        <v>0.44</v>
      </c>
      <c r="M44" s="738">
        <f t="shared" si="3"/>
        <v>0</v>
      </c>
      <c r="N44" s="736">
        <f>M44*VLOOKUP($B$9,'Base Costs'!$A$32:$B$37,2,FALSE)</f>
        <v>0</v>
      </c>
      <c r="O44" s="739">
        <f t="shared" si="6"/>
        <v>0</v>
      </c>
      <c r="S44" s="693"/>
      <c r="Y44" s="672"/>
    </row>
    <row r="45" spans="1:26" ht="15" customHeight="1" collapsed="1" x14ac:dyDescent="0.15">
      <c r="B45" s="713"/>
      <c r="C45" s="770"/>
      <c r="E45" s="770"/>
      <c r="F45" s="770"/>
      <c r="G45" s="715" t="s">
        <v>347</v>
      </c>
      <c r="H45" s="714"/>
      <c r="I45" s="715">
        <f>IF(ISNUMBER(SEARCH("UV",D48)),49.7,71.75)</f>
        <v>71.75</v>
      </c>
      <c r="J45" s="716"/>
      <c r="K45" s="771"/>
      <c r="L45" s="772"/>
      <c r="M45" s="771"/>
      <c r="N45" s="771"/>
      <c r="S45" s="693"/>
      <c r="Y45" s="672"/>
    </row>
    <row r="46" spans="1:26" s="673" customFormat="1" ht="15" customHeight="1" x14ac:dyDescent="0.15">
      <c r="A46" s="665"/>
      <c r="B46" s="241" t="s">
        <v>604</v>
      </c>
      <c r="C46" s="719">
        <f>IF(H46&lt;1,0,(((VLOOKUP(G46,CC!$D$2:$F$670,3,FALSE))*H46)+IF(ISNUMBER(SEARCH("CMW",D48)),VLOOKUP(C59,CCBASE!$A$81:$C$85,3,FALSE),0)+(VLOOKUP(C51,CCBASE!$A$53:$C$73,3,FALSE)*D51)+(VLOOKUP(C52,CCBASE!$A$53:$C$73,3,FALSE)*D52))&amp;" HRS")</f>
        <v>0</v>
      </c>
      <c r="D46" s="720" t="str">
        <f>D48</f>
        <v>CANOPY TYPE</v>
      </c>
      <c r="E46" s="701">
        <f>CEILING(IF(C48="WALL",E48, (E48/2)),250)</f>
        <v>0</v>
      </c>
      <c r="F46" s="701">
        <f>IF(H46&lt;1,0,CEILING((F48-100)/H48,250))</f>
        <v>0</v>
      </c>
      <c r="G46" s="720" t="str">
        <f>D46&amp;F46&amp;E46</f>
        <v>CANOPY TYPE00</v>
      </c>
      <c r="H46" s="719">
        <f>IF(E48=0,0,IF(F48=0,0,(E48/(IF(C48="WALL",E48,(E48/2)))*H48)))</f>
        <v>0</v>
      </c>
      <c r="I46" s="719" t="str">
        <f>I48&amp;" m³/s"</f>
        <v xml:space="preserve"> m³/s</v>
      </c>
      <c r="J46" s="721"/>
      <c r="K46" s="722">
        <f>SUBTOTAL(9,K48:K61)</f>
        <v>0</v>
      </c>
      <c r="L46" s="703" t="str">
        <f>IF(K46=0,"-",O46/M46)</f>
        <v>-</v>
      </c>
      <c r="M46" s="722">
        <f>SUBTOTAL(9,M48:M61)</f>
        <v>0</v>
      </c>
      <c r="N46" s="704">
        <f>SUBTOTAL(9,N48:N61)</f>
        <v>0</v>
      </c>
      <c r="O46" s="722">
        <f>SUBTOTAL(9,O48:O61)</f>
        <v>0</v>
      </c>
      <c r="P46" s="672"/>
      <c r="Q46" s="672"/>
      <c r="R46" s="672"/>
      <c r="S46" s="712"/>
      <c r="T46" s="672"/>
      <c r="X46" s="672"/>
      <c r="Y46" s="672"/>
      <c r="Z46" s="672"/>
    </row>
    <row r="47" spans="1:26" ht="15" hidden="1" customHeight="1" outlineLevel="1" x14ac:dyDescent="0.15">
      <c r="B47" s="723"/>
      <c r="C47" s="724" t="s">
        <v>198</v>
      </c>
      <c r="D47" s="725" t="s">
        <v>255</v>
      </c>
      <c r="E47" s="724" t="s">
        <v>128</v>
      </c>
      <c r="F47" s="724" t="s">
        <v>129</v>
      </c>
      <c r="G47" s="724" t="s">
        <v>172</v>
      </c>
      <c r="H47" s="724" t="s">
        <v>197</v>
      </c>
      <c r="I47" s="725" t="s">
        <v>256</v>
      </c>
      <c r="J47" s="726"/>
      <c r="K47" s="727"/>
      <c r="L47" s="727"/>
      <c r="M47" s="728"/>
      <c r="N47" s="729"/>
      <c r="O47" s="711"/>
      <c r="S47" s="693"/>
      <c r="Y47" s="672"/>
    </row>
    <row r="48" spans="1:26" ht="15" hidden="1" customHeight="1" outlineLevel="1" x14ac:dyDescent="0.2">
      <c r="A48" s="665">
        <v>210</v>
      </c>
      <c r="B48" s="730" t="s">
        <v>182</v>
      </c>
      <c r="C48" s="731" t="s">
        <v>183</v>
      </c>
      <c r="D48" s="732" t="s">
        <v>130</v>
      </c>
      <c r="E48" s="733"/>
      <c r="F48" s="733"/>
      <c r="G48" s="733"/>
      <c r="H48" s="734"/>
      <c r="I48" s="733"/>
      <c r="J48" s="735">
        <f>IF(ISNA(C46),0,IF(F46&gt;3000,0,(IF(H46&lt;1,0,((VLOOKUP(G46,CC!$D$2:$E$670,2,FALSE))*H46)+((VLOOKUP(G46,CC!$D$2:$AD$670,17,FALSE)*(H46/H48)))))))</f>
        <v>0</v>
      </c>
      <c r="K48" s="736">
        <f>J48*1</f>
        <v>0</v>
      </c>
      <c r="L48" s="737">
        <v>0.44</v>
      </c>
      <c r="M48" s="738">
        <f t="shared" ref="M48:M61" si="8">K48/(1-L48)*(1+$C$9)</f>
        <v>0</v>
      </c>
      <c r="N48" s="736">
        <f>M48*VLOOKUP($B$9,'Base Costs'!$A$32:$B$37,2,FALSE)</f>
        <v>0</v>
      </c>
      <c r="O48" s="739">
        <f t="shared" ref="O48:O52" si="9">M48-K48</f>
        <v>0</v>
      </c>
      <c r="S48" s="693"/>
      <c r="Y48" s="672"/>
    </row>
    <row r="49" spans="1:26" ht="15" hidden="1" customHeight="1" outlineLevel="1" x14ac:dyDescent="0.15">
      <c r="A49" s="665">
        <v>104</v>
      </c>
      <c r="B49" s="730" t="s">
        <v>4</v>
      </c>
      <c r="C49" s="732" t="s">
        <v>185</v>
      </c>
      <c r="D49" s="857"/>
      <c r="E49" s="741"/>
      <c r="F49" s="742"/>
      <c r="G49" s="743"/>
      <c r="H49" s="667"/>
      <c r="I49" s="667"/>
      <c r="J49" s="735">
        <f>IF(ISNA(C46),0,IF(D49=0,0,IF(C49="FLO",VLOOKUP(E49,'Base Costs'!$M$4:$N$14,2,FALSE),IF(C49="LED STRIP",VLOOKUP(E49,'Base Costs'!$M$4:$N$14,2,FALSE),(VLOOKUP(C49,'Base Costs'!$M$4:$N$14,2,FALSE))))))</f>
        <v>0</v>
      </c>
      <c r="K49" s="736">
        <f>J49*D49</f>
        <v>0</v>
      </c>
      <c r="L49" s="737">
        <v>0.31</v>
      </c>
      <c r="M49" s="738">
        <f t="shared" si="8"/>
        <v>0</v>
      </c>
      <c r="N49" s="736">
        <f>M49*VLOOKUP($B$9,'Base Costs'!$A$32:$B$37,2,FALSE)</f>
        <v>0</v>
      </c>
      <c r="O49" s="739">
        <f t="shared" si="9"/>
        <v>0</v>
      </c>
      <c r="P49" s="744"/>
      <c r="S49" s="693"/>
      <c r="Y49" s="672"/>
    </row>
    <row r="50" spans="1:26" ht="15" hidden="1" customHeight="1" outlineLevel="1" x14ac:dyDescent="0.15">
      <c r="A50" s="665">
        <v>234</v>
      </c>
      <c r="B50" s="269" t="s">
        <v>1054</v>
      </c>
      <c r="C50" s="958" t="s">
        <v>839</v>
      </c>
      <c r="D50" s="746"/>
      <c r="E50" s="747"/>
      <c r="F50" s="748"/>
      <c r="G50" s="749"/>
      <c r="H50" s="750"/>
      <c r="I50" s="751">
        <v>1</v>
      </c>
      <c r="J50" s="735">
        <f>VLOOKUP(C50,'Base Costs'!$U$4:$V$41,2,FALSE)</f>
        <v>0</v>
      </c>
      <c r="K50" s="736">
        <f t="shared" ref="K50" si="10">J50*1</f>
        <v>0</v>
      </c>
      <c r="L50" s="737">
        <v>0.25</v>
      </c>
      <c r="M50" s="738">
        <f t="shared" si="8"/>
        <v>0</v>
      </c>
      <c r="N50" s="736">
        <f>M50*VLOOKUP($B$9,'Base Costs'!$A$32:$B$37,2,FALSE)</f>
        <v>0</v>
      </c>
      <c r="O50" s="739">
        <f t="shared" si="9"/>
        <v>0</v>
      </c>
      <c r="S50" s="693"/>
      <c r="Y50" s="672"/>
    </row>
    <row r="51" spans="1:26" ht="15" hidden="1" customHeight="1" outlineLevel="1" x14ac:dyDescent="0.15">
      <c r="B51" s="269" t="s">
        <v>1396</v>
      </c>
      <c r="C51" s="958" t="s">
        <v>1396</v>
      </c>
      <c r="D51" s="972">
        <v>1</v>
      </c>
      <c r="E51" s="753"/>
      <c r="F51" s="754"/>
      <c r="G51" s="749"/>
      <c r="H51" s="750"/>
      <c r="I51" s="755"/>
      <c r="J51" s="735">
        <f>VLOOKUP(C51,'Base Costs'!$U$44:$V$56,2,FALSE)</f>
        <v>0</v>
      </c>
      <c r="K51" s="736">
        <f>J51*D51</f>
        <v>0</v>
      </c>
      <c r="L51" s="737">
        <v>0.35</v>
      </c>
      <c r="M51" s="738">
        <f t="shared" si="8"/>
        <v>0</v>
      </c>
      <c r="N51" s="736">
        <f>M51*VLOOKUP($B$9,'Base Costs'!$A$32:$B$37,2,FALSE)</f>
        <v>0</v>
      </c>
      <c r="O51" s="739">
        <f t="shared" si="9"/>
        <v>0</v>
      </c>
      <c r="S51" s="693"/>
      <c r="Y51" s="672"/>
    </row>
    <row r="52" spans="1:26" ht="15" hidden="1" customHeight="1" outlineLevel="1" x14ac:dyDescent="0.15">
      <c r="B52" s="269" t="s">
        <v>339</v>
      </c>
      <c r="C52" s="752" t="s">
        <v>342</v>
      </c>
      <c r="D52" s="734"/>
      <c r="E52" s="753" t="str">
        <f>IF(C52="","",VLOOKUP(C52,CCBASE!$A$53:$D$73,4,FALSE))</f>
        <v/>
      </c>
      <c r="F52" s="754"/>
      <c r="G52" s="749"/>
      <c r="H52" s="750"/>
      <c r="I52" s="755"/>
      <c r="J52" s="735">
        <f>IF(C52="",0,VLOOKUP(C52,CCBASE!$A$53:$C$73,2,FALSE))</f>
        <v>0</v>
      </c>
      <c r="K52" s="736">
        <f>J52*D52</f>
        <v>0</v>
      </c>
      <c r="L52" s="737">
        <v>0.44</v>
      </c>
      <c r="M52" s="738">
        <f t="shared" si="8"/>
        <v>0</v>
      </c>
      <c r="N52" s="736">
        <f>M52*VLOOKUP($B$9,'Base Costs'!$A$32:$B$37,2,FALSE)</f>
        <v>0</v>
      </c>
      <c r="O52" s="739">
        <f t="shared" si="9"/>
        <v>0</v>
      </c>
      <c r="S52" s="693"/>
      <c r="Y52" s="672"/>
    </row>
    <row r="53" spans="1:26" ht="15" hidden="1" customHeight="1" outlineLevel="1" x14ac:dyDescent="0.15">
      <c r="A53" s="665">
        <v>289</v>
      </c>
      <c r="B53" s="730" t="s">
        <v>9</v>
      </c>
      <c r="C53" s="752" t="s">
        <v>565</v>
      </c>
      <c r="D53" s="756">
        <f>ROUNDUP($F48/1000,0)</f>
        <v>0</v>
      </c>
      <c r="E53" s="1107" t="s">
        <v>1059</v>
      </c>
      <c r="F53" s="1105"/>
      <c r="G53" s="754"/>
      <c r="H53" s="750"/>
      <c r="I53" s="755"/>
      <c r="J53" s="735">
        <f>IF(D53=0,0,VLOOKUP(C53,'Base Costs'!$A$19:$B$22,2,FALSE))</f>
        <v>0</v>
      </c>
      <c r="K53" s="736">
        <f>J53*D53</f>
        <v>0</v>
      </c>
      <c r="L53" s="737">
        <v>0.44</v>
      </c>
      <c r="M53" s="738">
        <f t="shared" si="8"/>
        <v>0</v>
      </c>
      <c r="N53" s="736">
        <f>M53*VLOOKUP($B$9,'Base Costs'!$A$32:$B$37,2,FALSE)</f>
        <v>0</v>
      </c>
      <c r="O53" s="739">
        <f>M53-K53</f>
        <v>0</v>
      </c>
      <c r="S53" s="693"/>
      <c r="Y53" s="672"/>
    </row>
    <row r="54" spans="1:26" ht="15" hidden="1" customHeight="1" outlineLevel="1" x14ac:dyDescent="0.15">
      <c r="A54" s="665">
        <v>242</v>
      </c>
      <c r="B54" s="730" t="s">
        <v>44</v>
      </c>
      <c r="C54" s="752"/>
      <c r="D54" s="741" t="s">
        <v>335</v>
      </c>
      <c r="E54" s="749" t="s">
        <v>718</v>
      </c>
      <c r="F54" s="748"/>
      <c r="G54" s="749"/>
      <c r="H54" s="750"/>
      <c r="I54" s="755"/>
      <c r="J54" s="735">
        <f>IF(C54=0,0,'Base Costs'!$B$26)</f>
        <v>0</v>
      </c>
      <c r="K54" s="736">
        <f>J54*C54</f>
        <v>0</v>
      </c>
      <c r="L54" s="737">
        <v>0.44</v>
      </c>
      <c r="M54" s="738">
        <f t="shared" si="8"/>
        <v>0</v>
      </c>
      <c r="N54" s="736">
        <f>M54*VLOOKUP($B$9,'Base Costs'!$A$32:$B$37,2,FALSE)</f>
        <v>0</v>
      </c>
      <c r="O54" s="739">
        <f t="shared" ref="O54:O61" si="11">M54-K54</f>
        <v>0</v>
      </c>
      <c r="S54" s="693"/>
      <c r="Y54" s="672"/>
    </row>
    <row r="55" spans="1:26" ht="15" hidden="1" customHeight="1" outlineLevel="1" x14ac:dyDescent="0.15">
      <c r="A55" s="665">
        <v>220</v>
      </c>
      <c r="B55" s="730" t="s">
        <v>43</v>
      </c>
      <c r="C55" s="752"/>
      <c r="D55" s="741" t="s">
        <v>336</v>
      </c>
      <c r="E55" s="748"/>
      <c r="F55" s="748"/>
      <c r="G55" s="757" t="str">
        <f>IF(ISNUMBER(SEARCH("KSA",$D56)),"MAX. EXTRACT (m³/s)", "")</f>
        <v/>
      </c>
      <c r="H55" s="1102" t="str">
        <f>IF(ISNUMBER(SEARCH("MUAP",$D48)),"MAX.  SUPPLY (m³/s)",IF(ISNUMBER(SEARCH("SPECIAL",$D48)),"MAX.  SUPPLY (m³/s)",(IF(ISNUMBER(SEARCH("F",$D48)),"MAX.  SUPPLY (m³/s)",""))))</f>
        <v/>
      </c>
      <c r="I55" s="1102"/>
      <c r="J55" s="735">
        <f>IF(C55=0,0,'Base Costs'!$B$29)</f>
        <v>0</v>
      </c>
      <c r="K55" s="736">
        <f>J55*C55</f>
        <v>0</v>
      </c>
      <c r="L55" s="737">
        <v>0.44</v>
      </c>
      <c r="M55" s="738">
        <f t="shared" si="8"/>
        <v>0</v>
      </c>
      <c r="N55" s="736">
        <f>M55*VLOOKUP($B$9,'Base Costs'!$A$32:$B$37,2,FALSE)</f>
        <v>0</v>
      </c>
      <c r="O55" s="739">
        <f t="shared" si="11"/>
        <v>0</v>
      </c>
      <c r="S55" s="693"/>
      <c r="Y55" s="672"/>
    </row>
    <row r="56" spans="1:26" ht="15" hidden="1" customHeight="1" outlineLevel="1" x14ac:dyDescent="0.15">
      <c r="A56" s="665">
        <v>103</v>
      </c>
      <c r="B56" s="730" t="s">
        <v>3</v>
      </c>
      <c r="C56" s="740">
        <f>IF(ISNUMBER(SEARCH("CMW",D48)),1,IF(F46=0,0,(ROUNDDOWN(((((F48-(100+(50*H46))))/H48)/500),0)*H46)))</f>
        <v>0</v>
      </c>
      <c r="D56" s="741" t="str">
        <f>VLOOKUP(D48,'Base Costs'!$A$39:$B$58,2,FALSE)</f>
        <v>FILTER TYPE</v>
      </c>
      <c r="E56" s="758" t="str">
        <f>IF(C56=0,0,IF(D56="KSA",ROUND(I48/C56,3),""))&amp; "  m³/s per filter"</f>
        <v>0  m³/s per filter</v>
      </c>
      <c r="F56" s="758" t="str">
        <f>IF(C56=0," Pa",ROUND((((I48*3600)/(C56*I45))^2),1)+20&amp; " Pa")</f>
        <v xml:space="preserve"> Pa</v>
      </c>
      <c r="G56" s="759" t="str">
        <f>IF(ISNUMBER(SEARCH("KSA",$D56)),$C56*0.25, "")</f>
        <v/>
      </c>
      <c r="H56" s="1103" t="str">
        <f>IF(ISNUMBER(SEARCH("MUAP",$D48)),0.225*($F48/1000),IF(ISNUMBER(SEARCH("SPECIAL",$D48)),0.225*($F48/1000),(IF(ISNUMBER(SEARCH("F",$D48)),0.225*($F48/1000),""))))</f>
        <v/>
      </c>
      <c r="I56" s="1103"/>
      <c r="J56" s="735">
        <f>IF(ISNA(D56),0,(VLOOKUP(D56,'Base Costs'!$Q$4:$R$11,2,FALSE)))</f>
        <v>0</v>
      </c>
      <c r="K56" s="736">
        <f>IF(ISNA(D56),0,IF(D56="MX",J56*1,J56*C56))</f>
        <v>0</v>
      </c>
      <c r="L56" s="737">
        <v>0.44</v>
      </c>
      <c r="M56" s="738">
        <f t="shared" si="8"/>
        <v>0</v>
      </c>
      <c r="N56" s="736">
        <f>M56*VLOOKUP($B$9,'Base Costs'!$A$32:$B$37,2,FALSE)</f>
        <v>0</v>
      </c>
      <c r="O56" s="739">
        <f t="shared" si="11"/>
        <v>0</v>
      </c>
      <c r="S56" s="693"/>
      <c r="Y56" s="672"/>
    </row>
    <row r="57" spans="1:26" ht="15" hidden="1" customHeight="1" outlineLevel="1" x14ac:dyDescent="0.15">
      <c r="B57" s="269" t="s">
        <v>1351</v>
      </c>
      <c r="C57" s="740">
        <v>0</v>
      </c>
      <c r="D57" s="856" t="str">
        <f>VLOOKUP(D48,'Base Costs'!$A$39:$C$58,3,FALSE)</f>
        <v>PSU</v>
      </c>
      <c r="E57" s="758" t="str">
        <f>IF(C57=0,0,IF(D57="PSU",ROUND(I48/C57,3),""))&amp; " m³/s per filter"</f>
        <v>0 m³/s per filter</v>
      </c>
      <c r="F57" s="758" t="str">
        <f>IF(C57=0," Pa",ROUND((((I48*3600)/(C57*I45))^2),1)+20&amp; " Pa")</f>
        <v xml:space="preserve"> Pa</v>
      </c>
      <c r="G57" s="759" t="str">
        <f>IF(ISNUMBER(SEARCH("KSA",$D57)),$C57*0.25, "")</f>
        <v/>
      </c>
      <c r="H57" s="1103" t="str">
        <f>IF(ISNUMBER(SEARCH("MUAP",$D48)),0.225*($F48/1000),IF(ISNUMBER(SEARCH("SPECIAL",$D48)),0.225*($F48/1000),(IF(ISNUMBER(SEARCH("F",$D48)),0.225*($F48/1000),""))))</f>
        <v/>
      </c>
      <c r="I57" s="1103"/>
      <c r="J57" s="735"/>
      <c r="K57" s="736">
        <f>IF(ISNA(D57),0,IF(D57="MX",J57*1,J57*C57))</f>
        <v>0</v>
      </c>
      <c r="L57" s="737">
        <v>0.44</v>
      </c>
      <c r="M57" s="738">
        <f t="shared" si="8"/>
        <v>0</v>
      </c>
      <c r="N57" s="736">
        <f>M57*VLOOKUP($B$9,'Base Costs'!$A$32:$B$37,2,FALSE)</f>
        <v>0</v>
      </c>
      <c r="O57" s="739">
        <f t="shared" si="11"/>
        <v>0</v>
      </c>
      <c r="S57" s="693"/>
      <c r="Y57" s="672"/>
    </row>
    <row r="58" spans="1:26" ht="15" hidden="1" customHeight="1" outlineLevel="1" x14ac:dyDescent="0.15">
      <c r="A58" s="665">
        <v>107</v>
      </c>
      <c r="B58" s="760" t="str">
        <f>IF(ISNUMBER(SEARCH("UV",D48)),"UV-C COMPONENTS",IF(ISNUMBER(SEARCH("CMW",D48)),"WATERWASH COMPONENTS",""))</f>
        <v/>
      </c>
      <c r="C58" s="761" t="str">
        <f>IF(H46=0,"UVR",IF(I48=0,"UVR",IF(I58&gt;0,("UVR")&amp;(INDEX('Base Costs'!$AH$5:$AI$10,(MATCH((I48/H46),'Base Costs'!$AI$5:$AI$10,-1)),1))&amp;("-")&amp;(H46),"UVR")))</f>
        <v>UVR</v>
      </c>
      <c r="D58" s="769" t="str">
        <f>VLOOKUP(C58,'Base Costs'!$Z$4:$AF$77,7,FALSE)&amp;" m³/s"</f>
        <v xml:space="preserve"> m³/s</v>
      </c>
      <c r="E58" s="763" t="str">
        <f>IF(ISNUMBER(SEARCH("L",C58)),"LONG RACK IN SECTION","SHORTRACK")</f>
        <v>SHORTRACK</v>
      </c>
      <c r="F58" s="764" t="str">
        <f>IF(ISNUMBER(SEARCH("L",C58)),ROUND(F48/H48,1)&amp;" mm","")</f>
        <v/>
      </c>
      <c r="G58" s="754"/>
      <c r="H58" s="754"/>
      <c r="I58" s="751">
        <f>IF(ISNUMBER(SEARCH("UV",D48)),1, 0)</f>
        <v>0</v>
      </c>
      <c r="J58" s="735">
        <f>IF(ISNA(C58),0,VLOOKUP(C58,'Base Costs'!$Z$4:$AF$77,2,FALSE))</f>
        <v>0</v>
      </c>
      <c r="K58" s="736">
        <f t="shared" ref="K58" si="12">J58*1</f>
        <v>0</v>
      </c>
      <c r="L58" s="737">
        <v>0.44</v>
      </c>
      <c r="M58" s="738">
        <f t="shared" si="8"/>
        <v>0</v>
      </c>
      <c r="N58" s="736">
        <f>M58*VLOOKUP($B$9,'Base Costs'!$A$32:$B$37,2,FALSE)</f>
        <v>0</v>
      </c>
      <c r="O58" s="739">
        <f t="shared" si="11"/>
        <v>0</v>
      </c>
      <c r="S58" s="693"/>
      <c r="Y58" s="672"/>
    </row>
    <row r="59" spans="1:26" ht="15" hidden="1" customHeight="1" outlineLevel="1" x14ac:dyDescent="0.15">
      <c r="B59" s="730" t="str">
        <f>IF(ISNUMBER(SEARCH("UV",D48)),"UV-C 2ND FILTER",IF(ISNUMBER(SEARCH("CMW",D48)),"CONTROL PANEL",""))</f>
        <v/>
      </c>
      <c r="C59" s="758" t="s">
        <v>588</v>
      </c>
      <c r="D59" s="760" t="str">
        <f>IF(ISNUMBER(SEARCH("CP1S",$C59)),"Up to 12m of canopy","")</f>
        <v/>
      </c>
      <c r="E59" s="760" t="str">
        <f>IF(ISNUMBER(SEARCH("CMW",$D48)),"CWS REQUIREMENT @ 2Bar","")</f>
        <v/>
      </c>
      <c r="F59" s="765" t="str">
        <f>IF(ISNUMBER(SEARCH("CMW",$D48)),$F48/1000*0.02&amp;" L/S","")</f>
        <v/>
      </c>
      <c r="G59" s="754"/>
      <c r="H59" s="750"/>
      <c r="I59" s="751">
        <f>C56</f>
        <v>0</v>
      </c>
      <c r="J59" s="735">
        <f>IF(ISNUMBER(SEARCH("CMW",D48)),VLOOKUP(C59,CCBASE!$A$81:$B$85,2,FALSE),(IF(I58&gt;0,'Base Costs'!$R$7,0)))</f>
        <v>0</v>
      </c>
      <c r="K59" s="736">
        <f>J59*C56</f>
        <v>0</v>
      </c>
      <c r="L59" s="737">
        <v>0.44</v>
      </c>
      <c r="M59" s="738">
        <f t="shared" si="8"/>
        <v>0</v>
      </c>
      <c r="N59" s="736">
        <f>M59*VLOOKUP($B$9,'Base Costs'!$A$32:$B$37,2,FALSE)</f>
        <v>0</v>
      </c>
      <c r="O59" s="739">
        <f t="shared" si="11"/>
        <v>0</v>
      </c>
      <c r="S59" s="693"/>
      <c r="Y59" s="672"/>
    </row>
    <row r="60" spans="1:26" ht="15" hidden="1" customHeight="1" outlineLevel="1" x14ac:dyDescent="0.15">
      <c r="A60" s="665">
        <v>285</v>
      </c>
      <c r="B60" s="730" t="str">
        <f>IF(ISNUMBER(SEARCH("UV",D48)),"UV-C WORKSHOP WIRING",IF(ISNUMBER(SEARCH("CMW",D48)),"W/W PODS",""))</f>
        <v/>
      </c>
      <c r="C60" s="758" t="s">
        <v>714</v>
      </c>
      <c r="D60" s="758">
        <v>0</v>
      </c>
      <c r="E60" s="760" t="str">
        <f>IF(ISNUMBER(SEARCH("CMW",$D48)),"HWS REQUIREMENT @ 60°C ","")</f>
        <v/>
      </c>
      <c r="F60" s="766" t="str">
        <f>IF(ISNUMBER(SEARCH("CMW",$D48)),$F48/1000*0.103&amp;" L/S","")</f>
        <v/>
      </c>
      <c r="G60" s="754"/>
      <c r="H60" s="750"/>
      <c r="I60" s="751">
        <f>IF(I58&gt;0,H46,0)</f>
        <v>0</v>
      </c>
      <c r="J60" s="735">
        <f>IF(ISNUMBER(SEARCH("CMW",D48)),VLOOKUP(C60,'Base Costs'!$Q$35:$R$45,2,FALSE),IF(I60=0,0,36*1.03))</f>
        <v>0</v>
      </c>
      <c r="K60" s="736">
        <f>IF(ISNUMBER(SEARCH("CMW",D48)),J60*D60,J60*H46)</f>
        <v>0</v>
      </c>
      <c r="L60" s="737">
        <v>0.44</v>
      </c>
      <c r="M60" s="738">
        <f t="shared" si="8"/>
        <v>0</v>
      </c>
      <c r="N60" s="736">
        <f>M60*VLOOKUP($B$9,'Base Costs'!$A$32:$B$37,2,FALSE)</f>
        <v>0</v>
      </c>
      <c r="O60" s="739">
        <f t="shared" si="11"/>
        <v>0</v>
      </c>
      <c r="S60" s="693"/>
      <c r="Y60" s="672"/>
    </row>
    <row r="61" spans="1:26" ht="15" hidden="1" customHeight="1" outlineLevel="1" x14ac:dyDescent="0.15">
      <c r="A61" s="665">
        <v>286</v>
      </c>
      <c r="B61" s="730" t="str">
        <f>IF(ISNUMBER(SEARCH("CMW",$D48)),"CWS/HWS PIPEWORK UP TO 5M",IF(ISNUMBER(SEARCH("UV",$D48)),"MU5 INTERFACE", ""))</f>
        <v/>
      </c>
      <c r="C61" s="758">
        <v>1</v>
      </c>
      <c r="D61" s="767"/>
      <c r="E61" s="760" t="str">
        <f>IF(ISNUMBER(SEARCH("CMW",$D48)),"HW STORAGE 3m wash","")</f>
        <v/>
      </c>
      <c r="F61" s="765" t="str">
        <f>IF(ISNUMBER(SEARCH("CMW",$D48)),($F48/1000)*0.103*180&amp;" L","")</f>
        <v/>
      </c>
      <c r="G61" s="749"/>
      <c r="H61" s="750"/>
      <c r="I61" s="751">
        <f>IF(I58=0,0,1)</f>
        <v>0</v>
      </c>
      <c r="J61" s="735">
        <f>IF(B61="CWS/HWS PIPEWORK UP TO 5M",CCBASE!$B$65,IF(I61=0,0,100*1.44))</f>
        <v>0</v>
      </c>
      <c r="K61" s="736">
        <f>J61*C61</f>
        <v>0</v>
      </c>
      <c r="L61" s="737">
        <v>0.44</v>
      </c>
      <c r="M61" s="738">
        <f t="shared" si="8"/>
        <v>0</v>
      </c>
      <c r="N61" s="736">
        <f>M61*VLOOKUP($B$9,'Base Costs'!$A$32:$B$37,2,FALSE)</f>
        <v>0</v>
      </c>
      <c r="O61" s="739">
        <f t="shared" si="11"/>
        <v>0</v>
      </c>
      <c r="S61" s="693"/>
      <c r="Y61" s="672"/>
    </row>
    <row r="62" spans="1:26" ht="15" customHeight="1" collapsed="1" x14ac:dyDescent="0.15">
      <c r="B62" s="713"/>
      <c r="C62" s="770"/>
      <c r="E62" s="770"/>
      <c r="F62" s="770"/>
      <c r="G62" s="715" t="s">
        <v>347</v>
      </c>
      <c r="H62" s="714"/>
      <c r="I62" s="715">
        <f>IF(ISNUMBER(SEARCH("UV",D65)),49.7,71.75)</f>
        <v>71.75</v>
      </c>
      <c r="J62" s="716"/>
      <c r="K62" s="771"/>
      <c r="L62" s="772"/>
      <c r="M62" s="771"/>
      <c r="N62" s="771"/>
      <c r="S62" s="693"/>
      <c r="Y62" s="672"/>
    </row>
    <row r="63" spans="1:26" s="673" customFormat="1" ht="15" customHeight="1" x14ac:dyDescent="0.15">
      <c r="A63" s="665"/>
      <c r="B63" s="241" t="s">
        <v>604</v>
      </c>
      <c r="C63" s="719">
        <f>IF(H63&lt;1,0,(((VLOOKUP(G63,CC!$D$2:$F$670,3,FALSE))*H63)+IF(ISNUMBER(SEARCH("CMW",D65)),VLOOKUP(C76,CCBASE!$A$81:$C$85,3,FALSE),0)+(VLOOKUP(C68,CCBASE!$A$53:$C$73,3,FALSE)*D68)+(VLOOKUP(C69,CCBASE!$A$53:$C$73,3,FALSE)*D69))&amp;" HRS")</f>
        <v>0</v>
      </c>
      <c r="D63" s="720" t="str">
        <f>D65</f>
        <v>CANOPY TYPE</v>
      </c>
      <c r="E63" s="701">
        <f>CEILING(IF(C65="WALL",E65, (E65/2)),250)</f>
        <v>0</v>
      </c>
      <c r="F63" s="701">
        <f>IF(H63&lt;1,0,CEILING((F65-100)/H65,250))</f>
        <v>0</v>
      </c>
      <c r="G63" s="720" t="str">
        <f>D63&amp;F63&amp;E63</f>
        <v>CANOPY TYPE00</v>
      </c>
      <c r="H63" s="719">
        <f>IF(E65=0,0,IF(F65=0,0,(E65/(IF(C65="WALL",E65,(E65/2)))*H65)))</f>
        <v>0</v>
      </c>
      <c r="I63" s="719" t="str">
        <f>I65&amp;" m³/s"</f>
        <v xml:space="preserve"> m³/s</v>
      </c>
      <c r="J63" s="721"/>
      <c r="K63" s="722">
        <f>SUBTOTAL(9,K65:K78)</f>
        <v>0</v>
      </c>
      <c r="L63" s="703" t="str">
        <f>IF(K63=0,"-",O63/M63)</f>
        <v>-</v>
      </c>
      <c r="M63" s="722">
        <f>SUBTOTAL(9,M65:M78)</f>
        <v>0</v>
      </c>
      <c r="N63" s="704">
        <f>SUBTOTAL(9,N65:N78)</f>
        <v>0</v>
      </c>
      <c r="O63" s="722">
        <f>SUBTOTAL(9,O65:O78)</f>
        <v>0</v>
      </c>
      <c r="P63" s="672"/>
      <c r="Q63" s="672"/>
      <c r="R63" s="672"/>
      <c r="S63" s="712"/>
      <c r="T63" s="672"/>
      <c r="X63" s="672"/>
      <c r="Y63" s="672"/>
      <c r="Z63" s="672"/>
    </row>
    <row r="64" spans="1:26" ht="15" hidden="1" customHeight="1" outlineLevel="1" x14ac:dyDescent="0.15">
      <c r="B64" s="723"/>
      <c r="C64" s="724" t="s">
        <v>198</v>
      </c>
      <c r="D64" s="725" t="s">
        <v>255</v>
      </c>
      <c r="E64" s="724" t="s">
        <v>128</v>
      </c>
      <c r="F64" s="724" t="s">
        <v>129</v>
      </c>
      <c r="G64" s="724" t="s">
        <v>172</v>
      </c>
      <c r="H64" s="724" t="s">
        <v>197</v>
      </c>
      <c r="I64" s="725" t="s">
        <v>256</v>
      </c>
      <c r="J64" s="726"/>
      <c r="K64" s="727"/>
      <c r="L64" s="727"/>
      <c r="M64" s="728"/>
      <c r="N64" s="729"/>
      <c r="O64" s="711"/>
      <c r="S64" s="693"/>
      <c r="Y64" s="672"/>
    </row>
    <row r="65" spans="1:26" ht="15" hidden="1" customHeight="1" outlineLevel="1" x14ac:dyDescent="0.2">
      <c r="A65" s="665">
        <v>210</v>
      </c>
      <c r="B65" s="730" t="s">
        <v>182</v>
      </c>
      <c r="C65" s="731" t="s">
        <v>183</v>
      </c>
      <c r="D65" s="732" t="s">
        <v>130</v>
      </c>
      <c r="E65" s="733"/>
      <c r="F65" s="733"/>
      <c r="G65" s="733"/>
      <c r="H65" s="734"/>
      <c r="I65" s="733"/>
      <c r="J65" s="735">
        <f>IF(ISNA(C63),0,IF(F63&gt;3000,0,(IF(H63&lt;1,0,((VLOOKUP(G63,CC!$D$2:$E$670,2,FALSE))*H63)+((VLOOKUP(G63,CC!$D$2:$AD$670,17,FALSE)*(H63/H65)))))))</f>
        <v>0</v>
      </c>
      <c r="K65" s="736">
        <f>J65*1</f>
        <v>0</v>
      </c>
      <c r="L65" s="737">
        <v>0.44</v>
      </c>
      <c r="M65" s="738">
        <f t="shared" ref="M65:M78" si="13">K65/(1-L65)*(1+$C$9)</f>
        <v>0</v>
      </c>
      <c r="N65" s="736">
        <f>M65*VLOOKUP($B$9,'Base Costs'!$A$32:$B$37,2,FALSE)</f>
        <v>0</v>
      </c>
      <c r="O65" s="739">
        <f t="shared" ref="O65:O69" si="14">M65-K65</f>
        <v>0</v>
      </c>
      <c r="S65" s="693"/>
      <c r="Y65" s="672"/>
    </row>
    <row r="66" spans="1:26" ht="15" hidden="1" customHeight="1" outlineLevel="1" x14ac:dyDescent="0.15">
      <c r="A66" s="665">
        <v>104</v>
      </c>
      <c r="B66" s="730" t="s">
        <v>4</v>
      </c>
      <c r="C66" s="732" t="s">
        <v>185</v>
      </c>
      <c r="D66" s="740"/>
      <c r="E66" s="741">
        <v>100</v>
      </c>
      <c r="F66" s="742"/>
      <c r="G66" s="743"/>
      <c r="H66" s="667"/>
      <c r="I66" s="667"/>
      <c r="J66" s="735">
        <f>IF(ISNA(C63),0,IF(D66=0,0,IF(C66="FLO",VLOOKUP(E66,'Base Costs'!$M$4:$N$14,2,FALSE),IF(C66="LED STRIP",VLOOKUP(E66,'Base Costs'!$M$4:$N$14,2,FALSE),(VLOOKUP(C66,'Base Costs'!$M$4:$N$14,2,FALSE))))))</f>
        <v>0</v>
      </c>
      <c r="K66" s="736">
        <f>J66*D66</f>
        <v>0</v>
      </c>
      <c r="L66" s="737">
        <v>0.31</v>
      </c>
      <c r="M66" s="738">
        <f t="shared" si="13"/>
        <v>0</v>
      </c>
      <c r="N66" s="736">
        <f>M66*VLOOKUP($B$9,'Base Costs'!$A$32:$B$37,2,FALSE)</f>
        <v>0</v>
      </c>
      <c r="O66" s="739">
        <f t="shared" si="14"/>
        <v>0</v>
      </c>
      <c r="P66" s="744"/>
      <c r="S66" s="693"/>
      <c r="Y66" s="672"/>
    </row>
    <row r="67" spans="1:26" ht="15" hidden="1" customHeight="1" outlineLevel="1" x14ac:dyDescent="0.15">
      <c r="A67" s="665">
        <v>234</v>
      </c>
      <c r="B67" s="269" t="s">
        <v>1054</v>
      </c>
      <c r="C67" s="958" t="s">
        <v>839</v>
      </c>
      <c r="D67" s="746"/>
      <c r="E67" s="747"/>
      <c r="F67" s="748"/>
      <c r="G67" s="749"/>
      <c r="H67" s="750"/>
      <c r="I67" s="751">
        <v>1</v>
      </c>
      <c r="J67" s="735">
        <f>VLOOKUP(C67,'Base Costs'!$U$4:$V$41,2,FALSE)</f>
        <v>0</v>
      </c>
      <c r="K67" s="736">
        <f t="shared" ref="K67" si="15">J67*1</f>
        <v>0</v>
      </c>
      <c r="L67" s="737">
        <v>0.25</v>
      </c>
      <c r="M67" s="738">
        <f t="shared" si="13"/>
        <v>0</v>
      </c>
      <c r="N67" s="736">
        <f>M67*VLOOKUP($B$9,'Base Costs'!$A$32:$B$37,2,FALSE)</f>
        <v>0</v>
      </c>
      <c r="O67" s="739">
        <f t="shared" si="14"/>
        <v>0</v>
      </c>
      <c r="S67" s="693"/>
      <c r="Y67" s="672"/>
    </row>
    <row r="68" spans="1:26" ht="15" hidden="1" customHeight="1" outlineLevel="1" x14ac:dyDescent="0.15">
      <c r="B68" s="269" t="s">
        <v>1396</v>
      </c>
      <c r="C68" s="958" t="s">
        <v>1396</v>
      </c>
      <c r="D68" s="972">
        <v>1</v>
      </c>
      <c r="E68" s="753"/>
      <c r="F68" s="754"/>
      <c r="G68" s="749"/>
      <c r="H68" s="750"/>
      <c r="I68" s="755"/>
      <c r="J68" s="735">
        <f>VLOOKUP(C68,'Base Costs'!$U$44:$V$56,2,FALSE)</f>
        <v>0</v>
      </c>
      <c r="K68" s="736">
        <f>J68*D68</f>
        <v>0</v>
      </c>
      <c r="L68" s="737">
        <v>0.35</v>
      </c>
      <c r="M68" s="738">
        <f t="shared" si="13"/>
        <v>0</v>
      </c>
      <c r="N68" s="736">
        <f>M68*VLOOKUP($B$9,'Base Costs'!$A$32:$B$37,2,FALSE)</f>
        <v>0</v>
      </c>
      <c r="O68" s="739">
        <f t="shared" si="14"/>
        <v>0</v>
      </c>
      <c r="S68" s="693"/>
      <c r="Y68" s="672"/>
    </row>
    <row r="69" spans="1:26" ht="15" hidden="1" customHeight="1" outlineLevel="1" x14ac:dyDescent="0.15">
      <c r="B69" s="269" t="s">
        <v>339</v>
      </c>
      <c r="C69" s="752" t="s">
        <v>342</v>
      </c>
      <c r="D69" s="734"/>
      <c r="E69" s="753" t="str">
        <f>IF(C69="","",VLOOKUP(C69,CCBASE!$A$53:$D$73,4,FALSE))</f>
        <v/>
      </c>
      <c r="F69" s="754"/>
      <c r="G69" s="749"/>
      <c r="H69" s="750"/>
      <c r="I69" s="755"/>
      <c r="J69" s="735">
        <f>IF(C69="",0,VLOOKUP(C69,CCBASE!$A$53:$C$73,2,FALSE))</f>
        <v>0</v>
      </c>
      <c r="K69" s="736">
        <f>J69*D69</f>
        <v>0</v>
      </c>
      <c r="L69" s="737">
        <v>0.44</v>
      </c>
      <c r="M69" s="738">
        <f t="shared" si="13"/>
        <v>0</v>
      </c>
      <c r="N69" s="736">
        <f>M69*VLOOKUP($B$9,'Base Costs'!$A$32:$B$37,2,FALSE)</f>
        <v>0</v>
      </c>
      <c r="O69" s="739">
        <f t="shared" si="14"/>
        <v>0</v>
      </c>
      <c r="S69" s="693"/>
      <c r="Y69" s="672"/>
    </row>
    <row r="70" spans="1:26" ht="15" hidden="1" customHeight="1" outlineLevel="1" x14ac:dyDescent="0.15">
      <c r="A70" s="665">
        <v>289</v>
      </c>
      <c r="B70" s="730" t="s">
        <v>9</v>
      </c>
      <c r="C70" s="752" t="s">
        <v>565</v>
      </c>
      <c r="D70" s="756">
        <f>ROUNDUP($F65/1000,0)</f>
        <v>0</v>
      </c>
      <c r="E70" s="1107" t="s">
        <v>1059</v>
      </c>
      <c r="F70" s="1105"/>
      <c r="G70" s="754"/>
      <c r="H70" s="750"/>
      <c r="I70" s="755"/>
      <c r="J70" s="735">
        <f>IF(D70=0,0,VLOOKUP(C70,'Base Costs'!$A$19:$B$22,2,FALSE))</f>
        <v>0</v>
      </c>
      <c r="K70" s="736">
        <f>J70*D70</f>
        <v>0</v>
      </c>
      <c r="L70" s="737">
        <v>0.44</v>
      </c>
      <c r="M70" s="738">
        <f t="shared" si="13"/>
        <v>0</v>
      </c>
      <c r="N70" s="736">
        <f>M70*VLOOKUP($B$9,'Base Costs'!$A$32:$B$37,2,FALSE)</f>
        <v>0</v>
      </c>
      <c r="O70" s="739">
        <f>M70-K70</f>
        <v>0</v>
      </c>
      <c r="S70" s="693"/>
      <c r="Y70" s="672"/>
    </row>
    <row r="71" spans="1:26" ht="15" hidden="1" customHeight="1" outlineLevel="1" x14ac:dyDescent="0.15">
      <c r="A71" s="665">
        <v>242</v>
      </c>
      <c r="B71" s="730" t="s">
        <v>44</v>
      </c>
      <c r="C71" s="752"/>
      <c r="D71" s="741" t="s">
        <v>335</v>
      </c>
      <c r="E71" s="749" t="s">
        <v>718</v>
      </c>
      <c r="F71" s="748"/>
      <c r="G71" s="749"/>
      <c r="H71" s="750"/>
      <c r="I71" s="755"/>
      <c r="J71" s="735">
        <f>IF(C71=0,0,'Base Costs'!$B$26)</f>
        <v>0</v>
      </c>
      <c r="K71" s="736">
        <f>J71*C71</f>
        <v>0</v>
      </c>
      <c r="L71" s="737">
        <v>0.44</v>
      </c>
      <c r="M71" s="738">
        <f t="shared" si="13"/>
        <v>0</v>
      </c>
      <c r="N71" s="736">
        <f>M71*VLOOKUP($B$9,'Base Costs'!$A$32:$B$37,2,FALSE)</f>
        <v>0</v>
      </c>
      <c r="O71" s="739">
        <f t="shared" ref="O71:O78" si="16">M71-K71</f>
        <v>0</v>
      </c>
      <c r="S71" s="693"/>
      <c r="Y71" s="672"/>
    </row>
    <row r="72" spans="1:26" ht="15" hidden="1" customHeight="1" outlineLevel="1" x14ac:dyDescent="0.15">
      <c r="A72" s="665">
        <v>220</v>
      </c>
      <c r="B72" s="730" t="s">
        <v>43</v>
      </c>
      <c r="C72" s="752"/>
      <c r="D72" s="741" t="s">
        <v>336</v>
      </c>
      <c r="E72" s="748"/>
      <c r="F72" s="748"/>
      <c r="G72" s="757" t="str">
        <f>IF(ISNUMBER(SEARCH("KSA",$D73)),"MAX. EXTRACT (m³/s)", "")</f>
        <v/>
      </c>
      <c r="H72" s="1102" t="str">
        <f>IF(ISNUMBER(SEARCH("MUAP",$D65)),"MAX.  SUPPLY (m³/s)",IF(ISNUMBER(SEARCH("SPECIAL",$D65)),"MAX.  SUPPLY (m³/s)",(IF(ISNUMBER(SEARCH("F",$D65)),"MAX.  SUPPLY (m³/s)",""))))</f>
        <v/>
      </c>
      <c r="I72" s="1102"/>
      <c r="J72" s="735">
        <f>IF(C72=0,0,'Base Costs'!$B$29)</f>
        <v>0</v>
      </c>
      <c r="K72" s="736">
        <f>J72*C72</f>
        <v>0</v>
      </c>
      <c r="L72" s="737">
        <v>0.44</v>
      </c>
      <c r="M72" s="738">
        <f t="shared" si="13"/>
        <v>0</v>
      </c>
      <c r="N72" s="736">
        <f>M72*VLOOKUP($B$9,'Base Costs'!$A$32:$B$37,2,FALSE)</f>
        <v>0</v>
      </c>
      <c r="O72" s="739">
        <f t="shared" si="16"/>
        <v>0</v>
      </c>
      <c r="S72" s="693"/>
      <c r="Y72" s="672"/>
    </row>
    <row r="73" spans="1:26" ht="15" hidden="1" customHeight="1" outlineLevel="1" x14ac:dyDescent="0.15">
      <c r="A73" s="665">
        <v>103</v>
      </c>
      <c r="B73" s="730" t="s">
        <v>3</v>
      </c>
      <c r="C73" s="740">
        <f>IF(ISNUMBER(SEARCH("CMW",D65)),1,IF(F63=0,0,(ROUNDDOWN(((((F65-(100+(50*H63))))/H65)/500),0)*H63)))</f>
        <v>0</v>
      </c>
      <c r="D73" s="741" t="str">
        <f>VLOOKUP(D65,'Base Costs'!$A$39:$B$58,2,FALSE)</f>
        <v>FILTER TYPE</v>
      </c>
      <c r="E73" s="758" t="str">
        <f>IF(C73=0,0,IF(D73="KSA",ROUND(I65/C73,3),""))&amp; "  m³/s per filter"</f>
        <v>0  m³/s per filter</v>
      </c>
      <c r="F73" s="758" t="str">
        <f>IF(C73=0," Pa",ROUND((((I65*3600)/(C73*I62))^2),1)+20&amp; " Pa")</f>
        <v xml:space="preserve"> Pa</v>
      </c>
      <c r="G73" s="759" t="str">
        <f>IF(ISNUMBER(SEARCH("KSA",$D73)),$C73*0.25, "")</f>
        <v/>
      </c>
      <c r="H73" s="1103" t="str">
        <f>IF(ISNUMBER(SEARCH("MUAP",$D65)),0.225*($F65/1000),IF(ISNUMBER(SEARCH("SPECIAL",$D65)),0.225*($F65/1000),(IF(ISNUMBER(SEARCH("F",$D65)),0.225*($F65/1000),""))))</f>
        <v/>
      </c>
      <c r="I73" s="1103"/>
      <c r="J73" s="735">
        <f>IF(ISNA(D73),0,(VLOOKUP(D73,'Base Costs'!$Q$4:$R$11,2,FALSE)))</f>
        <v>0</v>
      </c>
      <c r="K73" s="736">
        <f>IF(ISNA(D73),0,IF(D73="MX",J73*1,J73*C73))</f>
        <v>0</v>
      </c>
      <c r="L73" s="737">
        <v>0.44</v>
      </c>
      <c r="M73" s="738">
        <f t="shared" si="13"/>
        <v>0</v>
      </c>
      <c r="N73" s="736">
        <f>M73*VLOOKUP($B$9,'Base Costs'!$A$32:$B$37,2,FALSE)</f>
        <v>0</v>
      </c>
      <c r="O73" s="739">
        <f t="shared" si="16"/>
        <v>0</v>
      </c>
      <c r="S73" s="693"/>
      <c r="Y73" s="672"/>
    </row>
    <row r="74" spans="1:26" ht="15" hidden="1" customHeight="1" outlineLevel="1" x14ac:dyDescent="0.15">
      <c r="B74" s="269" t="s">
        <v>1351</v>
      </c>
      <c r="C74" s="740">
        <v>0</v>
      </c>
      <c r="D74" s="856" t="str">
        <f>VLOOKUP(D65,'Base Costs'!$A$39:$C$58,3,FALSE)</f>
        <v>PSU</v>
      </c>
      <c r="E74" s="758" t="str">
        <f>IF(C74=0,0,IF(D74="PSU",ROUND(I65/C74,3),""))&amp; " m³/s per filter"</f>
        <v>0 m³/s per filter</v>
      </c>
      <c r="F74" s="758" t="str">
        <f>IF(C74=0," Pa",ROUND((((I65*3600)/(C74*I62))^2),1)+20&amp; " Pa")</f>
        <v xml:space="preserve"> Pa</v>
      </c>
      <c r="G74" s="759" t="str">
        <f>IF(ISNUMBER(SEARCH("KSA",$D74)),$C74*0.25, "")</f>
        <v/>
      </c>
      <c r="H74" s="1103" t="str">
        <f>IF(ISNUMBER(SEARCH("MUAP",$D65)),0.225*($F65/1000),IF(ISNUMBER(SEARCH("SPECIAL",$D65)),0.225*($F65/1000),(IF(ISNUMBER(SEARCH("F",$D65)),0.225*($F65/1000),""))))</f>
        <v/>
      </c>
      <c r="I74" s="1103"/>
      <c r="J74" s="735"/>
      <c r="K74" s="736">
        <f>IF(ISNA(D74),0,IF(D74="MX",J74*1,J74*C74))</f>
        <v>0</v>
      </c>
      <c r="L74" s="737">
        <v>0.44</v>
      </c>
      <c r="M74" s="738">
        <f t="shared" si="13"/>
        <v>0</v>
      </c>
      <c r="N74" s="736">
        <f>M74*VLOOKUP($B$9,'Base Costs'!$A$32:$B$37,2,FALSE)</f>
        <v>0</v>
      </c>
      <c r="O74" s="739">
        <f t="shared" si="16"/>
        <v>0</v>
      </c>
      <c r="S74" s="693"/>
      <c r="Y74" s="672"/>
    </row>
    <row r="75" spans="1:26" ht="15" hidden="1" customHeight="1" outlineLevel="1" x14ac:dyDescent="0.15">
      <c r="A75" s="665">
        <v>107</v>
      </c>
      <c r="B75" s="760" t="str">
        <f>IF(ISNUMBER(SEARCH("UV",D65)),"UV-C COMPONENTS",IF(ISNUMBER(SEARCH("CMW",D65)),"WATERWASH COMPONENTS",""))</f>
        <v/>
      </c>
      <c r="C75" s="761" t="str">
        <f>IF(H63=0,"UVR",IF(I65=0,"UVR",IF(I75&gt;0,("UVR")&amp;(INDEX('Base Costs'!$AH$5:$AI$10,(MATCH((I65/H63),'Base Costs'!$AI$5:$AI$10,-1)),1))&amp;("-")&amp;(H63),"UVR")))</f>
        <v>UVR</v>
      </c>
      <c r="D75" s="769" t="str">
        <f>VLOOKUP(C75,'Base Costs'!$Z$4:$AF$77,7,FALSE)&amp;" m³/s"</f>
        <v xml:space="preserve"> m³/s</v>
      </c>
      <c r="E75" s="763" t="str">
        <f>IF(ISNUMBER(SEARCH("L",C75)),"LONG RACK IN SECTION","SHORTRACK")</f>
        <v>SHORTRACK</v>
      </c>
      <c r="F75" s="764" t="str">
        <f>IF(ISNUMBER(SEARCH("L",C75)),ROUND(F65/H65,1)&amp;" mm","")</f>
        <v/>
      </c>
      <c r="G75" s="754"/>
      <c r="H75" s="754"/>
      <c r="I75" s="751">
        <f>IF(ISNUMBER(SEARCH("UV",D65)),1, 0)</f>
        <v>0</v>
      </c>
      <c r="J75" s="735">
        <f>IF(ISNA(C75),0,VLOOKUP(C75,'Base Costs'!$Z$4:$AF$77,2,FALSE))</f>
        <v>0</v>
      </c>
      <c r="K75" s="736">
        <f t="shared" ref="K75" si="17">J75*1</f>
        <v>0</v>
      </c>
      <c r="L75" s="737">
        <v>0.44</v>
      </c>
      <c r="M75" s="738">
        <f t="shared" si="13"/>
        <v>0</v>
      </c>
      <c r="N75" s="736">
        <f>M75*VLOOKUP($B$9,'Base Costs'!$A$32:$B$37,2,FALSE)</f>
        <v>0</v>
      </c>
      <c r="O75" s="739">
        <f t="shared" si="16"/>
        <v>0</v>
      </c>
      <c r="S75" s="693"/>
      <c r="Y75" s="672"/>
    </row>
    <row r="76" spans="1:26" ht="15" hidden="1" customHeight="1" outlineLevel="1" x14ac:dyDescent="0.15">
      <c r="B76" s="730" t="str">
        <f>IF(ISNUMBER(SEARCH("UV",D65)),"UV-C 2ND FILTER",IF(ISNUMBER(SEARCH("CMW",D65)),"CONTROL PANEL",""))</f>
        <v/>
      </c>
      <c r="C76" s="758" t="s">
        <v>588</v>
      </c>
      <c r="D76" s="760" t="str">
        <f>IF(ISNUMBER(SEARCH("CP1S",$C76)),"Up to 12m of canopy","")</f>
        <v/>
      </c>
      <c r="E76" s="760" t="str">
        <f>IF(ISNUMBER(SEARCH("CMW",$D65)),"CWS REQUIREMENT @ 2Bar","")</f>
        <v/>
      </c>
      <c r="F76" s="765" t="str">
        <f>IF(ISNUMBER(SEARCH("CMW",$D65)),$F65/1000*0.02&amp;" L/S","")</f>
        <v/>
      </c>
      <c r="G76" s="754"/>
      <c r="H76" s="750"/>
      <c r="I76" s="751">
        <f>C73</f>
        <v>0</v>
      </c>
      <c r="J76" s="735">
        <f>IF(ISNUMBER(SEARCH("CMW",D65)),VLOOKUP(C76,CCBASE!$A$81:$B$85,2,FALSE),(IF(I75&gt;0,'Base Costs'!$R$7,0)))</f>
        <v>0</v>
      </c>
      <c r="K76" s="736">
        <f>J76*C73</f>
        <v>0</v>
      </c>
      <c r="L76" s="737">
        <v>0.44</v>
      </c>
      <c r="M76" s="738">
        <f t="shared" si="13"/>
        <v>0</v>
      </c>
      <c r="N76" s="736">
        <f>M76*VLOOKUP($B$9,'Base Costs'!$A$32:$B$37,2,FALSE)</f>
        <v>0</v>
      </c>
      <c r="O76" s="739">
        <f t="shared" si="16"/>
        <v>0</v>
      </c>
      <c r="S76" s="693"/>
      <c r="Y76" s="672"/>
    </row>
    <row r="77" spans="1:26" ht="15" hidden="1" customHeight="1" outlineLevel="1" x14ac:dyDescent="0.15">
      <c r="A77" s="665">
        <v>285</v>
      </c>
      <c r="B77" s="730" t="str">
        <f>IF(ISNUMBER(SEARCH("UV",D65)),"UV-C WORKSHOP WIRING",IF(ISNUMBER(SEARCH("CMW",D65)),"W/W PODS",""))</f>
        <v/>
      </c>
      <c r="C77" s="758" t="s">
        <v>714</v>
      </c>
      <c r="D77" s="758">
        <v>0</v>
      </c>
      <c r="E77" s="760" t="str">
        <f>IF(ISNUMBER(SEARCH("CMW",$D65)),"HWS REQUIREMENT @ 60°C ","")</f>
        <v/>
      </c>
      <c r="F77" s="766" t="str">
        <f>IF(ISNUMBER(SEARCH("CMW",$D65)),$F65/1000*0.103&amp;" L/S","")</f>
        <v/>
      </c>
      <c r="G77" s="754"/>
      <c r="H77" s="750"/>
      <c r="I77" s="751">
        <f>IF(I75&gt;0,H63,0)</f>
        <v>0</v>
      </c>
      <c r="J77" s="735">
        <f>IF(ISNUMBER(SEARCH("CMW",D65)),VLOOKUP(C77,'Base Costs'!$Q$35:$R$45,2,FALSE),IF(I77=0,0,36*1.03))</f>
        <v>0</v>
      </c>
      <c r="K77" s="736">
        <f>IF(ISNUMBER(SEARCH("CMW",D65)),J77*D77,J77*H63)</f>
        <v>0</v>
      </c>
      <c r="L77" s="737">
        <v>0.44</v>
      </c>
      <c r="M77" s="738">
        <f t="shared" si="13"/>
        <v>0</v>
      </c>
      <c r="N77" s="736">
        <f>M77*VLOOKUP($B$9,'Base Costs'!$A$32:$B$37,2,FALSE)</f>
        <v>0</v>
      </c>
      <c r="O77" s="739">
        <f t="shared" si="16"/>
        <v>0</v>
      </c>
      <c r="S77" s="693"/>
      <c r="Y77" s="672"/>
    </row>
    <row r="78" spans="1:26" ht="15" hidden="1" customHeight="1" outlineLevel="1" x14ac:dyDescent="0.15">
      <c r="A78" s="665">
        <v>286</v>
      </c>
      <c r="B78" s="730" t="str">
        <f>IF(ISNUMBER(SEARCH("CMW",$D65)),"CWS/HWS PIPEWORK UP TO 5M",IF(ISNUMBER(SEARCH("UV",$D65)),"MU5 INTERFACE", ""))</f>
        <v/>
      </c>
      <c r="C78" s="758">
        <v>1</v>
      </c>
      <c r="D78" s="767"/>
      <c r="E78" s="760" t="str">
        <f>IF(ISNUMBER(SEARCH("CMW",$D65)),"HW STORAGE 3m wash","")</f>
        <v/>
      </c>
      <c r="F78" s="765" t="str">
        <f>IF(ISNUMBER(SEARCH("CMW",$D65)),($F65/1000)*0.103*180&amp;" L","")</f>
        <v/>
      </c>
      <c r="G78" s="749"/>
      <c r="H78" s="750"/>
      <c r="I78" s="751">
        <f>IF(I75=0,0,1)</f>
        <v>0</v>
      </c>
      <c r="J78" s="735">
        <f>IF(B78="CWS/HWS PIPEWORK UP TO 5M",CCBASE!$B$65,IF(I78=0,0,100*1.44))</f>
        <v>0</v>
      </c>
      <c r="K78" s="736">
        <f>J78*C78</f>
        <v>0</v>
      </c>
      <c r="L78" s="737">
        <v>0.44</v>
      </c>
      <c r="M78" s="738">
        <f t="shared" si="13"/>
        <v>0</v>
      </c>
      <c r="N78" s="736">
        <f>M78*VLOOKUP($B$9,'Base Costs'!$A$32:$B$37,2,FALSE)</f>
        <v>0</v>
      </c>
      <c r="O78" s="739">
        <f t="shared" si="16"/>
        <v>0</v>
      </c>
      <c r="S78" s="693"/>
      <c r="Y78" s="672"/>
    </row>
    <row r="79" spans="1:26" ht="15" customHeight="1" collapsed="1" x14ac:dyDescent="0.15">
      <c r="B79" s="713"/>
      <c r="C79" s="770"/>
      <c r="E79" s="770"/>
      <c r="F79" s="770"/>
      <c r="G79" s="715" t="s">
        <v>347</v>
      </c>
      <c r="H79" s="714"/>
      <c r="I79" s="715">
        <f>IF(ISNUMBER(SEARCH("UV",D82)),49.7,71.75)</f>
        <v>71.75</v>
      </c>
      <c r="J79" s="716"/>
      <c r="K79" s="771"/>
      <c r="L79" s="772"/>
      <c r="M79" s="771"/>
      <c r="N79" s="771"/>
      <c r="S79" s="693"/>
      <c r="Y79" s="672"/>
    </row>
    <row r="80" spans="1:26" s="673" customFormat="1" ht="15" customHeight="1" x14ac:dyDescent="0.15">
      <c r="A80" s="665"/>
      <c r="B80" s="241" t="s">
        <v>604</v>
      </c>
      <c r="C80" s="719">
        <f>IF(H80&lt;1,0,(((VLOOKUP(G80,CC!$D$2:$F$670,3,FALSE))*H80)+IF(ISNUMBER(SEARCH("CMW",D82)),VLOOKUP(C93,CCBASE!$A$81:$C$85,3,FALSE),0)+(VLOOKUP(C85,CCBASE!$A$53:$C$73,3,FALSE)*D85)+(VLOOKUP(C86,CCBASE!$A$53:$C$73,3,FALSE)*D86))&amp;" HRS")</f>
        <v>0</v>
      </c>
      <c r="D80" s="720" t="str">
        <f>D82</f>
        <v>CANOPY TYPE</v>
      </c>
      <c r="E80" s="701">
        <f>CEILING(IF(C82="WALL",E82, (E82/2)),250)</f>
        <v>0</v>
      </c>
      <c r="F80" s="701">
        <f>IF(H80&lt;1,0,CEILING((F82-100)/H82,250))</f>
        <v>0</v>
      </c>
      <c r="G80" s="720" t="str">
        <f>D80&amp;F80&amp;E80</f>
        <v>CANOPY TYPE00</v>
      </c>
      <c r="H80" s="719">
        <f>IF(E82=0,0,IF(F82=0,0,(E82/(IF(C82="WALL",E82,(E82/2)))*H82)))</f>
        <v>0</v>
      </c>
      <c r="I80" s="719" t="str">
        <f>I82&amp;" m³/s"</f>
        <v xml:space="preserve"> m³/s</v>
      </c>
      <c r="J80" s="721"/>
      <c r="K80" s="722">
        <f>SUBTOTAL(9,K82:K95)</f>
        <v>0</v>
      </c>
      <c r="L80" s="703" t="str">
        <f>IF(K80=0,"-",O80/M80)</f>
        <v>-</v>
      </c>
      <c r="M80" s="722">
        <f>SUBTOTAL(9,M82:M95)</f>
        <v>0</v>
      </c>
      <c r="N80" s="704">
        <f>SUBTOTAL(9,N82:N95)</f>
        <v>0</v>
      </c>
      <c r="O80" s="722">
        <f>SUBTOTAL(9,O82:O95)</f>
        <v>0</v>
      </c>
      <c r="P80" s="672"/>
      <c r="Q80" s="672"/>
      <c r="R80" s="672"/>
      <c r="S80" s="712"/>
      <c r="T80" s="672"/>
      <c r="X80" s="672"/>
      <c r="Y80" s="672"/>
      <c r="Z80" s="672"/>
    </row>
    <row r="81" spans="1:25" ht="15" hidden="1" customHeight="1" outlineLevel="1" x14ac:dyDescent="0.15">
      <c r="B81" s="723"/>
      <c r="C81" s="724" t="s">
        <v>198</v>
      </c>
      <c r="D81" s="725" t="s">
        <v>255</v>
      </c>
      <c r="E81" s="724" t="s">
        <v>128</v>
      </c>
      <c r="F81" s="724" t="s">
        <v>129</v>
      </c>
      <c r="G81" s="724" t="s">
        <v>172</v>
      </c>
      <c r="H81" s="724" t="s">
        <v>197</v>
      </c>
      <c r="I81" s="725" t="s">
        <v>256</v>
      </c>
      <c r="J81" s="726"/>
      <c r="K81" s="727"/>
      <c r="L81" s="727"/>
      <c r="M81" s="728"/>
      <c r="N81" s="729"/>
      <c r="O81" s="711"/>
      <c r="S81" s="693"/>
      <c r="Y81" s="672"/>
    </row>
    <row r="82" spans="1:25" ht="15" hidden="1" customHeight="1" outlineLevel="1" x14ac:dyDescent="0.2">
      <c r="A82" s="665">
        <v>210</v>
      </c>
      <c r="B82" s="730" t="s">
        <v>182</v>
      </c>
      <c r="C82" s="731" t="s">
        <v>183</v>
      </c>
      <c r="D82" s="858" t="s">
        <v>130</v>
      </c>
      <c r="E82" s="733"/>
      <c r="F82" s="733"/>
      <c r="G82" s="733"/>
      <c r="H82" s="734"/>
      <c r="I82" s="733"/>
      <c r="J82" s="735">
        <f>IF(ISNA(C80),0,IF(F80&gt;3000,0,(IF(H80&lt;1,0,((VLOOKUP(G80,CC!$D$2:$E$670,2,FALSE))*H80)+((VLOOKUP(G80,CC!$D$2:$AD$670,17,FALSE)*(H80/H82)))))))</f>
        <v>0</v>
      </c>
      <c r="K82" s="736">
        <f>J82*1</f>
        <v>0</v>
      </c>
      <c r="L82" s="737">
        <v>0.44</v>
      </c>
      <c r="M82" s="738">
        <f t="shared" ref="M82:M95" si="18">K82/(1-L82)*(1+$C$9)</f>
        <v>0</v>
      </c>
      <c r="N82" s="736">
        <f>M82*VLOOKUP($B$9,'Base Costs'!$A$32:$B$37,2,FALSE)</f>
        <v>0</v>
      </c>
      <c r="O82" s="739">
        <f t="shared" ref="O82:O86" si="19">M82-K82</f>
        <v>0</v>
      </c>
      <c r="S82" s="693"/>
      <c r="Y82" s="672"/>
    </row>
    <row r="83" spans="1:25" ht="15" hidden="1" customHeight="1" outlineLevel="1" x14ac:dyDescent="0.15">
      <c r="A83" s="665">
        <v>104</v>
      </c>
      <c r="B83" s="730" t="s">
        <v>4</v>
      </c>
      <c r="C83" s="732" t="s">
        <v>185</v>
      </c>
      <c r="D83" s="740"/>
      <c r="E83" s="741"/>
      <c r="F83" s="742"/>
      <c r="G83" s="743"/>
      <c r="H83" s="667"/>
      <c r="I83" s="667"/>
      <c r="J83" s="735">
        <f>IF(ISNA(C80),0,IF(D83=0,0,IF(C83="FLO",VLOOKUP(E83,'Base Costs'!$M$4:$N$14,2,FALSE),IF(C83="LED STRIP",VLOOKUP(E83,'Base Costs'!$M$4:$N$14,2,FALSE),(VLOOKUP(C83,'Base Costs'!$M$4:$N$14,2,FALSE))))))</f>
        <v>0</v>
      </c>
      <c r="K83" s="736">
        <f>J83*D83</f>
        <v>0</v>
      </c>
      <c r="L83" s="737">
        <v>0.31</v>
      </c>
      <c r="M83" s="738">
        <f t="shared" si="18"/>
        <v>0</v>
      </c>
      <c r="N83" s="736">
        <f>M83*VLOOKUP($B$9,'Base Costs'!$A$32:$B$37,2,FALSE)</f>
        <v>0</v>
      </c>
      <c r="O83" s="739">
        <f t="shared" si="19"/>
        <v>0</v>
      </c>
      <c r="P83" s="744"/>
      <c r="S83" s="693"/>
      <c r="Y83" s="672"/>
    </row>
    <row r="84" spans="1:25" ht="15" hidden="1" customHeight="1" outlineLevel="1" x14ac:dyDescent="0.15">
      <c r="A84" s="665">
        <v>234</v>
      </c>
      <c r="B84" s="269" t="s">
        <v>1054</v>
      </c>
      <c r="C84" s="958" t="s">
        <v>839</v>
      </c>
      <c r="D84" s="746"/>
      <c r="E84" s="747"/>
      <c r="F84" s="748"/>
      <c r="G84" s="749"/>
      <c r="H84" s="750"/>
      <c r="I84" s="751">
        <v>1</v>
      </c>
      <c r="J84" s="735">
        <f>VLOOKUP(C84,'Base Costs'!$U$4:$V$41,2,FALSE)</f>
        <v>0</v>
      </c>
      <c r="K84" s="736">
        <f t="shared" ref="K84" si="20">J84*1</f>
        <v>0</v>
      </c>
      <c r="L84" s="737">
        <v>0.25</v>
      </c>
      <c r="M84" s="738">
        <f t="shared" si="18"/>
        <v>0</v>
      </c>
      <c r="N84" s="736">
        <f>M84*VLOOKUP($B$9,'Base Costs'!$A$32:$B$37,2,FALSE)</f>
        <v>0</v>
      </c>
      <c r="O84" s="739">
        <f t="shared" si="19"/>
        <v>0</v>
      </c>
      <c r="S84" s="693"/>
      <c r="Y84" s="672"/>
    </row>
    <row r="85" spans="1:25" ht="15" hidden="1" customHeight="1" outlineLevel="1" x14ac:dyDescent="0.15">
      <c r="B85" s="269" t="s">
        <v>1396</v>
      </c>
      <c r="C85" s="958" t="s">
        <v>1396</v>
      </c>
      <c r="D85" s="972">
        <v>1</v>
      </c>
      <c r="E85" s="753"/>
      <c r="F85" s="754"/>
      <c r="G85" s="749"/>
      <c r="H85" s="750"/>
      <c r="I85" s="755"/>
      <c r="J85" s="735">
        <f>VLOOKUP(C85,'Base Costs'!$U$44:$V$56,2,FALSE)</f>
        <v>0</v>
      </c>
      <c r="K85" s="736">
        <f>J85*D85</f>
        <v>0</v>
      </c>
      <c r="L85" s="737">
        <v>0.35</v>
      </c>
      <c r="M85" s="738">
        <f t="shared" si="18"/>
        <v>0</v>
      </c>
      <c r="N85" s="736">
        <f>M85*VLOOKUP($B$9,'Base Costs'!$A$32:$B$37,2,FALSE)</f>
        <v>0</v>
      </c>
      <c r="O85" s="739">
        <f t="shared" si="19"/>
        <v>0</v>
      </c>
      <c r="S85" s="693"/>
      <c r="Y85" s="672"/>
    </row>
    <row r="86" spans="1:25" ht="15" hidden="1" customHeight="1" outlineLevel="1" x14ac:dyDescent="0.15">
      <c r="B86" s="269" t="s">
        <v>339</v>
      </c>
      <c r="C86" s="752" t="s">
        <v>342</v>
      </c>
      <c r="D86" s="734"/>
      <c r="E86" s="753" t="str">
        <f>IF(C86="","",VLOOKUP(C86,CCBASE!$A$53:$D$73,4,FALSE))</f>
        <v/>
      </c>
      <c r="F86" s="754"/>
      <c r="G86" s="749"/>
      <c r="H86" s="750"/>
      <c r="I86" s="755"/>
      <c r="J86" s="735">
        <f>IF(C86="",0,VLOOKUP(C86,CCBASE!$A$53:$C$73,2,FALSE))</f>
        <v>0</v>
      </c>
      <c r="K86" s="736">
        <f>J86*D86</f>
        <v>0</v>
      </c>
      <c r="L86" s="737">
        <v>0.44</v>
      </c>
      <c r="M86" s="738">
        <f t="shared" si="18"/>
        <v>0</v>
      </c>
      <c r="N86" s="736">
        <f>M86*VLOOKUP($B$9,'Base Costs'!$A$32:$B$37,2,FALSE)</f>
        <v>0</v>
      </c>
      <c r="O86" s="739">
        <f t="shared" si="19"/>
        <v>0</v>
      </c>
      <c r="S86" s="693"/>
      <c r="Y86" s="672"/>
    </row>
    <row r="87" spans="1:25" ht="15" hidden="1" customHeight="1" outlineLevel="1" x14ac:dyDescent="0.15">
      <c r="A87" s="665">
        <v>289</v>
      </c>
      <c r="B87" s="730" t="s">
        <v>9</v>
      </c>
      <c r="C87" s="752" t="s">
        <v>565</v>
      </c>
      <c r="D87" s="756">
        <f>ROUNDUP($F82/1000,0)</f>
        <v>0</v>
      </c>
      <c r="E87" s="1107" t="s">
        <v>1059</v>
      </c>
      <c r="F87" s="1105"/>
      <c r="G87" s="754"/>
      <c r="H87" s="750"/>
      <c r="I87" s="755"/>
      <c r="J87" s="735">
        <f>IF(D87=0,0,VLOOKUP(C87,'Base Costs'!$A$19:$B$22,2,FALSE))</f>
        <v>0</v>
      </c>
      <c r="K87" s="736">
        <f>J87*D87</f>
        <v>0</v>
      </c>
      <c r="L87" s="737">
        <v>0.44</v>
      </c>
      <c r="M87" s="738">
        <f t="shared" si="18"/>
        <v>0</v>
      </c>
      <c r="N87" s="736">
        <f>M87*VLOOKUP($B$9,'Base Costs'!$A$32:$B$37,2,FALSE)</f>
        <v>0</v>
      </c>
      <c r="O87" s="739">
        <f>M87-K87</f>
        <v>0</v>
      </c>
      <c r="S87" s="693"/>
      <c r="Y87" s="672"/>
    </row>
    <row r="88" spans="1:25" ht="15" hidden="1" customHeight="1" outlineLevel="1" x14ac:dyDescent="0.15">
      <c r="A88" s="665">
        <v>242</v>
      </c>
      <c r="B88" s="730" t="s">
        <v>44</v>
      </c>
      <c r="C88" s="752"/>
      <c r="D88" s="741" t="s">
        <v>335</v>
      </c>
      <c r="E88" s="749" t="s">
        <v>718</v>
      </c>
      <c r="F88" s="748"/>
      <c r="G88" s="749"/>
      <c r="H88" s="750"/>
      <c r="I88" s="755"/>
      <c r="J88" s="735">
        <f>IF(C88=0,0,'Base Costs'!$B$26)</f>
        <v>0</v>
      </c>
      <c r="K88" s="736">
        <f>J88*C88</f>
        <v>0</v>
      </c>
      <c r="L88" s="737">
        <v>0.44</v>
      </c>
      <c r="M88" s="738">
        <f t="shared" si="18"/>
        <v>0</v>
      </c>
      <c r="N88" s="736">
        <f>M88*VLOOKUP($B$9,'Base Costs'!$A$32:$B$37,2,FALSE)</f>
        <v>0</v>
      </c>
      <c r="O88" s="739">
        <f t="shared" ref="O88:O95" si="21">M88-K88</f>
        <v>0</v>
      </c>
      <c r="S88" s="693"/>
      <c r="Y88" s="672"/>
    </row>
    <row r="89" spans="1:25" ht="15" hidden="1" customHeight="1" outlineLevel="1" x14ac:dyDescent="0.15">
      <c r="A89" s="665">
        <v>220</v>
      </c>
      <c r="B89" s="730" t="s">
        <v>43</v>
      </c>
      <c r="C89" s="752"/>
      <c r="D89" s="741" t="s">
        <v>336</v>
      </c>
      <c r="E89" s="748"/>
      <c r="F89" s="748"/>
      <c r="G89" s="757" t="str">
        <f>IF(ISNUMBER(SEARCH("KSA",$D90)),"MAX. EXTRACT (m³/s)", "")</f>
        <v/>
      </c>
      <c r="H89" s="1102" t="str">
        <f>IF(ISNUMBER(SEARCH("MUAP",$D82)),"MAX.  SUPPLY (m³/s)",IF(ISNUMBER(SEARCH("SPECIAL",$D82)),"MAX.  SUPPLY (m³/s)",(IF(ISNUMBER(SEARCH("F",$D82)),"MAX.  SUPPLY (m³/s)",""))))</f>
        <v/>
      </c>
      <c r="I89" s="1102"/>
      <c r="J89" s="735">
        <f>IF(C89=0,0,'Base Costs'!$B$29)</f>
        <v>0</v>
      </c>
      <c r="K89" s="736">
        <f>J89*C89</f>
        <v>0</v>
      </c>
      <c r="L89" s="737">
        <v>0.44</v>
      </c>
      <c r="M89" s="738">
        <f t="shared" si="18"/>
        <v>0</v>
      </c>
      <c r="N89" s="736">
        <f>M89*VLOOKUP($B$9,'Base Costs'!$A$32:$B$37,2,FALSE)</f>
        <v>0</v>
      </c>
      <c r="O89" s="739">
        <f t="shared" si="21"/>
        <v>0</v>
      </c>
      <c r="S89" s="693"/>
      <c r="Y89" s="672"/>
    </row>
    <row r="90" spans="1:25" ht="15" hidden="1" customHeight="1" outlineLevel="1" x14ac:dyDescent="0.15">
      <c r="A90" s="665">
        <v>103</v>
      </c>
      <c r="B90" s="730" t="s">
        <v>3</v>
      </c>
      <c r="C90" s="740">
        <f>IF(ISNUMBER(SEARCH("CMW",D82)),1,IF(F80=0,0,(ROUNDDOWN(((((F82-(100+(50*H80))))/H82)/500),0)*H80)))</f>
        <v>0</v>
      </c>
      <c r="D90" s="741" t="str">
        <f>VLOOKUP(D82,'Base Costs'!$A$39:$B$58,2,FALSE)</f>
        <v>FILTER TYPE</v>
      </c>
      <c r="E90" s="758" t="str">
        <f>IF(C90=0,0,IF(D90="KSA",ROUND(I82/C90,3),""))&amp; "  m³/s per filter"</f>
        <v>0  m³/s per filter</v>
      </c>
      <c r="F90" s="758" t="str">
        <f>IF(C90=0," Pa",ROUND((((I82*3600)/(C90*I79))^2),1)+20&amp; " Pa")</f>
        <v xml:space="preserve"> Pa</v>
      </c>
      <c r="G90" s="759" t="str">
        <f>IF(ISNUMBER(SEARCH("KSA",$D90)),$C90*0.25, "")</f>
        <v/>
      </c>
      <c r="H90" s="1103" t="str">
        <f>IF(ISNUMBER(SEARCH("MUAP",$D82)),0.225*($F82/1000),IF(ISNUMBER(SEARCH("SPECIAL",$D82)),0.225*($F82/1000),(IF(ISNUMBER(SEARCH("F",$D82)),0.225*($F82/1000),""))))</f>
        <v/>
      </c>
      <c r="I90" s="1103"/>
      <c r="J90" s="735">
        <f>IF(ISNA(D90),0,(VLOOKUP(D90,'Base Costs'!$Q$4:$R$11,2,FALSE)))</f>
        <v>0</v>
      </c>
      <c r="K90" s="736">
        <f>IF(ISNA(D90),0,IF(D90="MX",J90*1,J90*C90))</f>
        <v>0</v>
      </c>
      <c r="L90" s="737">
        <v>0.44</v>
      </c>
      <c r="M90" s="738">
        <f t="shared" si="18"/>
        <v>0</v>
      </c>
      <c r="N90" s="736">
        <f>M90*VLOOKUP($B$9,'Base Costs'!$A$32:$B$37,2,FALSE)</f>
        <v>0</v>
      </c>
      <c r="O90" s="739">
        <f t="shared" si="21"/>
        <v>0</v>
      </c>
      <c r="S90" s="693"/>
      <c r="Y90" s="672"/>
    </row>
    <row r="91" spans="1:25" ht="15" hidden="1" customHeight="1" outlineLevel="1" x14ac:dyDescent="0.15">
      <c r="B91" s="269" t="s">
        <v>1351</v>
      </c>
      <c r="C91" s="740">
        <v>0</v>
      </c>
      <c r="D91" s="856" t="str">
        <f>VLOOKUP(D82,'Base Costs'!$A$39:$C$58,3,FALSE)</f>
        <v>PSU</v>
      </c>
      <c r="E91" s="758" t="str">
        <f>IF(C91=0,0,IF(D91="PSU",ROUND(I82/C91,3),""))&amp; " m³/s per filter"</f>
        <v>0 m³/s per filter</v>
      </c>
      <c r="F91" s="758" t="str">
        <f>IF(C91=0," Pa",ROUND((((I82*3600)/(C91*I79))^2),1)+20&amp; " Pa")</f>
        <v xml:space="preserve"> Pa</v>
      </c>
      <c r="G91" s="759" t="str">
        <f>IF(ISNUMBER(SEARCH("KSA",$D91)),$C91*0.25, "")</f>
        <v/>
      </c>
      <c r="H91" s="1103" t="str">
        <f>IF(ISNUMBER(SEARCH("MUAP",$D82)),0.225*($F82/1000),IF(ISNUMBER(SEARCH("SPECIAL",$D82)),0.225*($F82/1000),(IF(ISNUMBER(SEARCH("F",$D82)),0.225*($F82/1000),""))))</f>
        <v/>
      </c>
      <c r="I91" s="1103"/>
      <c r="J91" s="735"/>
      <c r="K91" s="736">
        <f>IF(ISNA(D91),0,IF(D91="MX",J91*1,J91*C91))</f>
        <v>0</v>
      </c>
      <c r="L91" s="737">
        <v>0.44</v>
      </c>
      <c r="M91" s="738">
        <f t="shared" si="18"/>
        <v>0</v>
      </c>
      <c r="N91" s="736">
        <f>M91*VLOOKUP($B$9,'Base Costs'!$A$32:$B$37,2,FALSE)</f>
        <v>0</v>
      </c>
      <c r="O91" s="739">
        <f t="shared" si="21"/>
        <v>0</v>
      </c>
      <c r="S91" s="693"/>
      <c r="Y91" s="672"/>
    </row>
    <row r="92" spans="1:25" ht="15" hidden="1" customHeight="1" outlineLevel="1" x14ac:dyDescent="0.15">
      <c r="A92" s="665">
        <v>107</v>
      </c>
      <c r="B92" s="760" t="str">
        <f>IF(ISNUMBER(SEARCH("UV",D82)),"UV-C COMPONENTS",IF(ISNUMBER(SEARCH("CMW",D82)),"WATERWASH COMPONENTS",""))</f>
        <v/>
      </c>
      <c r="C92" s="761" t="str">
        <f>IF(H80=0,"UVR",IF(I82=0,"UVR",IF(I92&gt;0,("UVR")&amp;(INDEX('Base Costs'!$AH$5:$AI$10,(MATCH((I82/H80),'Base Costs'!$AI$5:$AI$10,-1)),1))&amp;("-")&amp;(H80),"UVR")))</f>
        <v>UVR</v>
      </c>
      <c r="D92" s="769" t="str">
        <f>VLOOKUP(C92,'Base Costs'!$Z$4:$AF$77,7,FALSE)&amp;" m³/s"</f>
        <v xml:space="preserve"> m³/s</v>
      </c>
      <c r="E92" s="763" t="str">
        <f>IF(ISNUMBER(SEARCH("L",C92)),"LONG RACK IN SECTION","SHORTRACK")</f>
        <v>SHORTRACK</v>
      </c>
      <c r="F92" s="764" t="str">
        <f>IF(ISNUMBER(SEARCH("L",C92)),ROUND(F82/H82,1)&amp;" mm","")</f>
        <v/>
      </c>
      <c r="G92" s="754"/>
      <c r="H92" s="754"/>
      <c r="I92" s="751">
        <f>IF(ISNUMBER(SEARCH("UV",D82)),1, 0)</f>
        <v>0</v>
      </c>
      <c r="J92" s="735">
        <f>IF(ISNA(C92),0,VLOOKUP(C92,'Base Costs'!$Z$4:$AF$77,2,FALSE))</f>
        <v>0</v>
      </c>
      <c r="K92" s="736">
        <f t="shared" ref="K92" si="22">J92*1</f>
        <v>0</v>
      </c>
      <c r="L92" s="737">
        <v>0.44</v>
      </c>
      <c r="M92" s="738">
        <f t="shared" si="18"/>
        <v>0</v>
      </c>
      <c r="N92" s="736">
        <f>M92*VLOOKUP($B$9,'Base Costs'!$A$32:$B$37,2,FALSE)</f>
        <v>0</v>
      </c>
      <c r="O92" s="739">
        <f t="shared" si="21"/>
        <v>0</v>
      </c>
      <c r="S92" s="693"/>
      <c r="Y92" s="672"/>
    </row>
    <row r="93" spans="1:25" ht="15" hidden="1" customHeight="1" outlineLevel="1" x14ac:dyDescent="0.15">
      <c r="B93" s="730" t="str">
        <f>IF(ISNUMBER(SEARCH("UV",D82)),"UV-C 2ND FILTER",IF(ISNUMBER(SEARCH("CMW",D82)),"CONTROL PANEL",""))</f>
        <v/>
      </c>
      <c r="C93" s="758" t="s">
        <v>588</v>
      </c>
      <c r="D93" s="760" t="str">
        <f>IF(ISNUMBER(SEARCH("CP1S",$C93)),"Up to 12m of canopy","")</f>
        <v/>
      </c>
      <c r="E93" s="760" t="str">
        <f>IF(ISNUMBER(SEARCH("CMW",$D82)),"CWS REQUIREMENT @ 2Bar","")</f>
        <v/>
      </c>
      <c r="F93" s="765" t="str">
        <f>IF(ISNUMBER(SEARCH("CMW",$D82)),$F82/1000*0.02&amp;" L/S","")</f>
        <v/>
      </c>
      <c r="G93" s="754"/>
      <c r="H93" s="750"/>
      <c r="I93" s="751">
        <f>C90</f>
        <v>0</v>
      </c>
      <c r="J93" s="735">
        <f>IF(ISNUMBER(SEARCH("CMW",D82)),VLOOKUP(C93,CCBASE!$A$81:$B$85,2,FALSE),(IF(I92&gt;0,'Base Costs'!$R$7,0)))</f>
        <v>0</v>
      </c>
      <c r="K93" s="736">
        <f>J93*C90</f>
        <v>0</v>
      </c>
      <c r="L93" s="737">
        <v>0.44</v>
      </c>
      <c r="M93" s="738">
        <f t="shared" si="18"/>
        <v>0</v>
      </c>
      <c r="N93" s="736">
        <f>M93*VLOOKUP($B$9,'Base Costs'!$A$32:$B$37,2,FALSE)</f>
        <v>0</v>
      </c>
      <c r="O93" s="739">
        <f t="shared" si="21"/>
        <v>0</v>
      </c>
      <c r="S93" s="693"/>
      <c r="Y93" s="672"/>
    </row>
    <row r="94" spans="1:25" ht="15" hidden="1" customHeight="1" outlineLevel="1" x14ac:dyDescent="0.15">
      <c r="A94" s="665">
        <v>285</v>
      </c>
      <c r="B94" s="730" t="str">
        <f>IF(ISNUMBER(SEARCH("UV",D82)),"UV-C WORKSHOP WIRING",IF(ISNUMBER(SEARCH("CMW",D82)),"W/W PODS",""))</f>
        <v/>
      </c>
      <c r="C94" s="758" t="s">
        <v>714</v>
      </c>
      <c r="D94" s="758">
        <v>0</v>
      </c>
      <c r="E94" s="760" t="str">
        <f>IF(ISNUMBER(SEARCH("CMW",$D82)),"HWS REQUIREMENT @ 60°C ","")</f>
        <v/>
      </c>
      <c r="F94" s="766" t="str">
        <f>IF(ISNUMBER(SEARCH("CMW",$D82)),$F82/1000*0.103&amp;" L/S","")</f>
        <v/>
      </c>
      <c r="G94" s="754"/>
      <c r="H94" s="750"/>
      <c r="I94" s="751">
        <f>IF(I92&gt;0,H80,0)</f>
        <v>0</v>
      </c>
      <c r="J94" s="735">
        <f>IF(ISNUMBER(SEARCH("CMW",D82)),VLOOKUP(C94,'Base Costs'!$Q$35:$R$45,2,FALSE),IF(I94=0,0,36*1.03))</f>
        <v>0</v>
      </c>
      <c r="K94" s="736">
        <f>IF(ISNUMBER(SEARCH("CMW",D82)),J94*D94,J94*H80)</f>
        <v>0</v>
      </c>
      <c r="L94" s="737">
        <v>0.44</v>
      </c>
      <c r="M94" s="738">
        <f t="shared" si="18"/>
        <v>0</v>
      </c>
      <c r="N94" s="736">
        <f>M94*VLOOKUP($B$9,'Base Costs'!$A$32:$B$37,2,FALSE)</f>
        <v>0</v>
      </c>
      <c r="O94" s="739">
        <f t="shared" si="21"/>
        <v>0</v>
      </c>
      <c r="S94" s="693"/>
      <c r="Y94" s="672"/>
    </row>
    <row r="95" spans="1:25" ht="15" hidden="1" customHeight="1" outlineLevel="1" x14ac:dyDescent="0.15">
      <c r="A95" s="665">
        <v>286</v>
      </c>
      <c r="B95" s="730" t="str">
        <f>IF(ISNUMBER(SEARCH("CMW",$D82)),"CWS/HWS PIPEWORK UP TO 5M",IF(ISNUMBER(SEARCH("UV",$D82)),"MU5 INTERFACE", ""))</f>
        <v/>
      </c>
      <c r="C95" s="758">
        <v>1</v>
      </c>
      <c r="D95" s="767"/>
      <c r="E95" s="760" t="str">
        <f>IF(ISNUMBER(SEARCH("CMW",$D82)),"HW STORAGE 3m wash","")</f>
        <v/>
      </c>
      <c r="F95" s="765" t="str">
        <f>IF(ISNUMBER(SEARCH("CMW",$D82)),($F82/1000)*0.103*180&amp;" L","")</f>
        <v/>
      </c>
      <c r="G95" s="749"/>
      <c r="H95" s="750"/>
      <c r="I95" s="751">
        <f>IF(I92=0,0,1)</f>
        <v>0</v>
      </c>
      <c r="J95" s="735">
        <f>IF(B95="CWS/HWS PIPEWORK UP TO 5M",CCBASE!$B$65,IF(I95=0,0,100*1.44))</f>
        <v>0</v>
      </c>
      <c r="K95" s="736">
        <f>J95*C95</f>
        <v>0</v>
      </c>
      <c r="L95" s="737">
        <v>0.44</v>
      </c>
      <c r="M95" s="738">
        <f t="shared" si="18"/>
        <v>0</v>
      </c>
      <c r="N95" s="736">
        <f>M95*VLOOKUP($B$9,'Base Costs'!$A$32:$B$37,2,FALSE)</f>
        <v>0</v>
      </c>
      <c r="O95" s="739">
        <f t="shared" si="21"/>
        <v>0</v>
      </c>
      <c r="S95" s="693"/>
      <c r="Y95" s="672"/>
    </row>
    <row r="96" spans="1:25" ht="15" customHeight="1" collapsed="1" x14ac:dyDescent="0.15">
      <c r="B96" s="713"/>
      <c r="C96" s="770"/>
      <c r="E96" s="770"/>
      <c r="F96" s="770"/>
      <c r="G96" s="715" t="s">
        <v>347</v>
      </c>
      <c r="H96" s="714"/>
      <c r="I96" s="715">
        <f>IF(ISNUMBER(SEARCH("UV",HD4)),49.7,71.75)</f>
        <v>71.75</v>
      </c>
      <c r="J96" s="716"/>
      <c r="K96" s="771"/>
      <c r="L96" s="772"/>
      <c r="M96" s="771"/>
      <c r="N96" s="771"/>
      <c r="S96" s="693"/>
      <c r="Y96" s="672"/>
    </row>
    <row r="97" spans="1:26" s="673" customFormat="1" ht="15" customHeight="1" x14ac:dyDescent="0.15">
      <c r="A97" s="665"/>
      <c r="B97" s="241" t="s">
        <v>604</v>
      </c>
      <c r="C97" s="719">
        <f>IF(H97&lt;1,0,(((VLOOKUP(G97,CC!$D$2:$F$670,3,FALSE))*H97)+IF(ISNUMBER(SEARCH("CMW",D99)),VLOOKUP(C110,CCBASE!$A$81:$C$85,3,FALSE),0)+(VLOOKUP(C102,CCBASE!$A$53:$C$73,3,FALSE)*D102)+(VLOOKUP(C103,CCBASE!$A$53:$C$73,3,FALSE)*D103))&amp;" HRS")</f>
        <v>0</v>
      </c>
      <c r="D97" s="720" t="str">
        <f>D99</f>
        <v>CANOPY TYPE</v>
      </c>
      <c r="E97" s="701">
        <f>CEILING(IF(C99="WALL",E99, (E99/2)),250)</f>
        <v>0</v>
      </c>
      <c r="F97" s="701">
        <f>IF(H97&lt;1,0,CEILING((F99-100)/H99,250))</f>
        <v>0</v>
      </c>
      <c r="G97" s="720" t="str">
        <f>D97&amp;F97&amp;E97</f>
        <v>CANOPY TYPE00</v>
      </c>
      <c r="H97" s="719">
        <f>IF(E99=0,0,IF(F99=0,0,(E99/(IF(C99="WALL",E99,(E99/2)))*H99)))</f>
        <v>0</v>
      </c>
      <c r="I97" s="719" t="str">
        <f>I99&amp;" m³/s"</f>
        <v xml:space="preserve"> m³/s</v>
      </c>
      <c r="J97" s="721"/>
      <c r="K97" s="722">
        <f>SUBTOTAL(9,K99:K112)</f>
        <v>0</v>
      </c>
      <c r="L97" s="703" t="str">
        <f>IF(K97=0,"-",O97/M97)</f>
        <v>-</v>
      </c>
      <c r="M97" s="722">
        <f>SUBTOTAL(9,M99:M112)</f>
        <v>0</v>
      </c>
      <c r="N97" s="704">
        <f>SUBTOTAL(9,N99:N112)</f>
        <v>0</v>
      </c>
      <c r="O97" s="722">
        <f>SUBTOTAL(9,O99:O112)</f>
        <v>0</v>
      </c>
      <c r="P97" s="672"/>
      <c r="Q97" s="672"/>
      <c r="R97" s="672"/>
      <c r="S97" s="712"/>
      <c r="T97" s="672"/>
      <c r="X97" s="672"/>
      <c r="Y97" s="672"/>
      <c r="Z97" s="672"/>
    </row>
    <row r="98" spans="1:26" ht="15" hidden="1" customHeight="1" outlineLevel="1" x14ac:dyDescent="0.15">
      <c r="B98" s="723"/>
      <c r="C98" s="724" t="s">
        <v>198</v>
      </c>
      <c r="D98" s="725" t="s">
        <v>255</v>
      </c>
      <c r="E98" s="724" t="s">
        <v>128</v>
      </c>
      <c r="F98" s="724" t="s">
        <v>129</v>
      </c>
      <c r="G98" s="724" t="s">
        <v>172</v>
      </c>
      <c r="H98" s="724" t="s">
        <v>197</v>
      </c>
      <c r="I98" s="725" t="s">
        <v>256</v>
      </c>
      <c r="J98" s="726"/>
      <c r="K98" s="727"/>
      <c r="L98" s="727"/>
      <c r="M98" s="728"/>
      <c r="N98" s="729"/>
      <c r="O98" s="711"/>
      <c r="S98" s="693"/>
      <c r="Y98" s="672"/>
    </row>
    <row r="99" spans="1:26" ht="15" hidden="1" customHeight="1" outlineLevel="1" x14ac:dyDescent="0.2">
      <c r="A99" s="665">
        <v>210</v>
      </c>
      <c r="B99" s="730" t="s">
        <v>182</v>
      </c>
      <c r="C99" s="731" t="s">
        <v>183</v>
      </c>
      <c r="D99" s="732" t="s">
        <v>130</v>
      </c>
      <c r="E99" s="733"/>
      <c r="F99" s="733"/>
      <c r="G99" s="733"/>
      <c r="H99" s="734"/>
      <c r="I99" s="733"/>
      <c r="J99" s="735">
        <f>IF(ISNA(C97),0,IF(F97&gt;3000,0,(IF(H97&lt;1,0,((VLOOKUP(G97,CC!$D$2:$E$670,2,FALSE))*H97)+((VLOOKUP(G97,CC!$D$2:$AD$670,17,FALSE)*(H97/H99)))))))</f>
        <v>0</v>
      </c>
      <c r="K99" s="736">
        <f>J99*1</f>
        <v>0</v>
      </c>
      <c r="L99" s="737">
        <v>0.44</v>
      </c>
      <c r="M99" s="738">
        <f t="shared" ref="M99:M112" si="23">K99/(1-L99)*(1+$C$9)</f>
        <v>0</v>
      </c>
      <c r="N99" s="736">
        <f>M99*VLOOKUP($B$9,'Base Costs'!$A$32:$B$37,2,FALSE)</f>
        <v>0</v>
      </c>
      <c r="O99" s="739">
        <f t="shared" ref="O99:O103" si="24">M99-K99</f>
        <v>0</v>
      </c>
      <c r="S99" s="693"/>
      <c r="Y99" s="672"/>
    </row>
    <row r="100" spans="1:26" ht="15" hidden="1" customHeight="1" outlineLevel="1" x14ac:dyDescent="0.15">
      <c r="A100" s="665">
        <v>104</v>
      </c>
      <c r="B100" s="730" t="s">
        <v>4</v>
      </c>
      <c r="C100" s="732" t="s">
        <v>185</v>
      </c>
      <c r="D100" s="740"/>
      <c r="E100" s="741"/>
      <c r="F100" s="742"/>
      <c r="G100" s="743"/>
      <c r="H100" s="667"/>
      <c r="I100" s="667"/>
      <c r="J100" s="735">
        <f>IF(ISNA(C97),0,IF(D100=0,0,IF(C100="FLO",VLOOKUP(E100,'Base Costs'!$M$4:$N$14,2,FALSE),IF(C100="LED STRIP",VLOOKUP(E100,'Base Costs'!$M$4:$N$14,2,FALSE),(VLOOKUP(C100,'Base Costs'!$M$4:$N$14,2,FALSE))))))</f>
        <v>0</v>
      </c>
      <c r="K100" s="736">
        <f>J100*D100</f>
        <v>0</v>
      </c>
      <c r="L100" s="737">
        <v>0.31</v>
      </c>
      <c r="M100" s="738">
        <f t="shared" si="23"/>
        <v>0</v>
      </c>
      <c r="N100" s="736">
        <f>M100*VLOOKUP($B$9,'Base Costs'!$A$32:$B$37,2,FALSE)</f>
        <v>0</v>
      </c>
      <c r="O100" s="739">
        <f t="shared" si="24"/>
        <v>0</v>
      </c>
      <c r="P100" s="744"/>
      <c r="S100" s="693"/>
      <c r="Y100" s="672"/>
    </row>
    <row r="101" spans="1:26" ht="15" hidden="1" customHeight="1" outlineLevel="1" x14ac:dyDescent="0.15">
      <c r="A101" s="665">
        <v>234</v>
      </c>
      <c r="B101" s="269" t="s">
        <v>839</v>
      </c>
      <c r="C101" s="958" t="s">
        <v>839</v>
      </c>
      <c r="D101" s="746"/>
      <c r="E101" s="747"/>
      <c r="F101" s="748"/>
      <c r="G101" s="749"/>
      <c r="H101" s="750"/>
      <c r="I101" s="751">
        <v>1</v>
      </c>
      <c r="J101" s="735">
        <f>VLOOKUP(C101,'Base Costs'!$U$4:$V$41,2,FALSE)</f>
        <v>0</v>
      </c>
      <c r="K101" s="736">
        <f t="shared" ref="K101" si="25">J101*1</f>
        <v>0</v>
      </c>
      <c r="L101" s="737">
        <v>0.25</v>
      </c>
      <c r="M101" s="738">
        <f t="shared" si="23"/>
        <v>0</v>
      </c>
      <c r="N101" s="736">
        <f>M101*VLOOKUP($B$9,'Base Costs'!$A$32:$B$37,2,FALSE)</f>
        <v>0</v>
      </c>
      <c r="O101" s="739">
        <f t="shared" si="24"/>
        <v>0</v>
      </c>
      <c r="S101" s="693"/>
      <c r="Y101" s="672"/>
    </row>
    <row r="102" spans="1:26" ht="15" hidden="1" customHeight="1" outlineLevel="1" x14ac:dyDescent="0.15">
      <c r="B102" s="269" t="s">
        <v>1396</v>
      </c>
      <c r="C102" s="958" t="s">
        <v>1396</v>
      </c>
      <c r="D102" s="972">
        <v>1</v>
      </c>
      <c r="E102" s="753"/>
      <c r="F102" s="754"/>
      <c r="G102" s="749"/>
      <c r="H102" s="750"/>
      <c r="I102" s="755"/>
      <c r="J102" s="735">
        <f>VLOOKUP(C102,'Base Costs'!$U$44:$V$56,2,FALSE)</f>
        <v>0</v>
      </c>
      <c r="K102" s="736">
        <f>J102*D102</f>
        <v>0</v>
      </c>
      <c r="L102" s="737">
        <v>0.35</v>
      </c>
      <c r="M102" s="738">
        <f t="shared" si="23"/>
        <v>0</v>
      </c>
      <c r="N102" s="736">
        <f>M102*VLOOKUP($B$9,'Base Costs'!$A$32:$B$37,2,FALSE)</f>
        <v>0</v>
      </c>
      <c r="O102" s="739">
        <f t="shared" si="24"/>
        <v>0</v>
      </c>
      <c r="S102" s="693"/>
      <c r="Y102" s="672"/>
    </row>
    <row r="103" spans="1:26" ht="15" hidden="1" customHeight="1" outlineLevel="1" x14ac:dyDescent="0.15">
      <c r="B103" s="583" t="s">
        <v>339</v>
      </c>
      <c r="C103" s="33" t="s">
        <v>342</v>
      </c>
      <c r="D103" s="734"/>
      <c r="E103" s="753" t="str">
        <f>IF(C103="","",VLOOKUP(C103,CCBASE!$A$53:$D$73,4,FALSE))</f>
        <v/>
      </c>
      <c r="F103" s="754"/>
      <c r="G103" s="749"/>
      <c r="H103" s="750"/>
      <c r="I103" s="755"/>
      <c r="J103" s="735">
        <f>IF(C103="",0,VLOOKUP(C103,CCBASE!$A$53:$C$73,2,FALSE))</f>
        <v>0</v>
      </c>
      <c r="K103" s="736">
        <f>J103*D103</f>
        <v>0</v>
      </c>
      <c r="L103" s="737">
        <v>0.44</v>
      </c>
      <c r="M103" s="738">
        <f t="shared" si="23"/>
        <v>0</v>
      </c>
      <c r="N103" s="736">
        <f>M103*VLOOKUP($B$9,'Base Costs'!$A$32:$B$37,2,FALSE)</f>
        <v>0</v>
      </c>
      <c r="O103" s="739">
        <f t="shared" si="24"/>
        <v>0</v>
      </c>
      <c r="S103" s="693"/>
      <c r="Y103" s="672"/>
    </row>
    <row r="104" spans="1:26" ht="15" hidden="1" customHeight="1" outlineLevel="1" x14ac:dyDescent="0.15">
      <c r="A104" s="665">
        <v>289</v>
      </c>
      <c r="B104" s="583" t="s">
        <v>9</v>
      </c>
      <c r="C104" s="33" t="s">
        <v>565</v>
      </c>
      <c r="D104" s="756">
        <f>ROUNDUP($F99/1000,0)</f>
        <v>0</v>
      </c>
      <c r="E104" s="1107" t="s">
        <v>1059</v>
      </c>
      <c r="F104" s="1105"/>
      <c r="G104" s="754"/>
      <c r="H104" s="750"/>
      <c r="I104" s="755"/>
      <c r="J104" s="735">
        <f>IF(D104=0,0,VLOOKUP(C104,'Base Costs'!$A$19:$B$22,2,FALSE))</f>
        <v>0</v>
      </c>
      <c r="K104" s="736">
        <f>J104*D104</f>
        <v>0</v>
      </c>
      <c r="L104" s="737">
        <v>0.44</v>
      </c>
      <c r="M104" s="738">
        <f t="shared" si="23"/>
        <v>0</v>
      </c>
      <c r="N104" s="736">
        <f>M104*VLOOKUP($B$9,'Base Costs'!$A$32:$B$37,2,FALSE)</f>
        <v>0</v>
      </c>
      <c r="O104" s="739">
        <f>M104-K104</f>
        <v>0</v>
      </c>
      <c r="S104" s="693"/>
      <c r="Y104" s="672"/>
    </row>
    <row r="105" spans="1:26" ht="15" hidden="1" customHeight="1" outlineLevel="1" x14ac:dyDescent="0.15">
      <c r="A105" s="665">
        <v>242</v>
      </c>
      <c r="B105" s="583" t="s">
        <v>44</v>
      </c>
      <c r="C105" s="752"/>
      <c r="D105" s="741" t="s">
        <v>335</v>
      </c>
      <c r="E105" s="749"/>
      <c r="F105" s="748"/>
      <c r="G105" s="749"/>
      <c r="H105" s="750"/>
      <c r="I105" s="755"/>
      <c r="J105" s="735">
        <f>IF(C105=0,0,'Base Costs'!$B$26)</f>
        <v>0</v>
      </c>
      <c r="K105" s="736">
        <f>J105*C105</f>
        <v>0</v>
      </c>
      <c r="L105" s="737">
        <v>0.44</v>
      </c>
      <c r="M105" s="738">
        <f t="shared" si="23"/>
        <v>0</v>
      </c>
      <c r="N105" s="736">
        <f>M105*VLOOKUP($B$9,'Base Costs'!$A$32:$B$37,2,FALSE)</f>
        <v>0</v>
      </c>
      <c r="O105" s="739">
        <f t="shared" ref="O105:O112" si="26">M105-K105</f>
        <v>0</v>
      </c>
      <c r="S105" s="693"/>
      <c r="Y105" s="672"/>
    </row>
    <row r="106" spans="1:26" ht="15" hidden="1" customHeight="1" outlineLevel="1" x14ac:dyDescent="0.15">
      <c r="A106" s="665">
        <v>220</v>
      </c>
      <c r="B106" s="730" t="s">
        <v>43</v>
      </c>
      <c r="C106" s="752"/>
      <c r="D106" s="741" t="s">
        <v>336</v>
      </c>
      <c r="E106" s="748"/>
      <c r="F106" s="748"/>
      <c r="G106" s="757" t="str">
        <f>IF(ISNUMBER(SEARCH("KSA",$D107)),"MAX. EXTRACT (m³/s)", "")</f>
        <v/>
      </c>
      <c r="H106" s="1102" t="str">
        <f>IF(ISNUMBER(SEARCH("MUAP",$D99)),"MAX.  SUPPLY (m³/s)",IF(ISNUMBER(SEARCH("SPECIAL",$D99)),"MAX.  SUPPLY (m³/s)",(IF(ISNUMBER(SEARCH("F",$D99)),"MAX.  SUPPLY (m³/s)",""))))</f>
        <v/>
      </c>
      <c r="I106" s="1102"/>
      <c r="J106" s="735">
        <f>IF(C106=0,0,'Base Costs'!$B$29)</f>
        <v>0</v>
      </c>
      <c r="K106" s="736">
        <f>J106*C106</f>
        <v>0</v>
      </c>
      <c r="L106" s="737">
        <v>0.44</v>
      </c>
      <c r="M106" s="738">
        <f t="shared" si="23"/>
        <v>0</v>
      </c>
      <c r="N106" s="736">
        <f>M106*VLOOKUP($B$9,'Base Costs'!$A$32:$B$37,2,FALSE)</f>
        <v>0</v>
      </c>
      <c r="O106" s="739">
        <f t="shared" si="26"/>
        <v>0</v>
      </c>
      <c r="S106" s="693"/>
      <c r="Y106" s="672"/>
    </row>
    <row r="107" spans="1:26" ht="15" hidden="1" customHeight="1" outlineLevel="1" x14ac:dyDescent="0.15">
      <c r="A107" s="665">
        <v>103</v>
      </c>
      <c r="B107" s="730" t="s">
        <v>3</v>
      </c>
      <c r="C107" s="740">
        <f>IF(ISNUMBER(SEARCH("CMW",D99)),1,IF(F97=0,0,(ROUNDDOWN(((((F99-(100+(50*H97))))/H99)/500),0)*H97)))</f>
        <v>0</v>
      </c>
      <c r="D107" s="741" t="str">
        <f>VLOOKUP(D99,'Base Costs'!$A$39:$B$58,2,FALSE)</f>
        <v>FILTER TYPE</v>
      </c>
      <c r="E107" s="758" t="str">
        <f>IF(C107=0,0,IF(D107="KSA",ROUND(I99/C107,3),""))&amp; "  m³/s per filter"</f>
        <v>0  m³/s per filter</v>
      </c>
      <c r="F107" s="758" t="str">
        <f>IF(C107=0," Pa",ROUND((((I99*3600)/(C107*I96))^2),1)+20&amp; " Pa")</f>
        <v xml:space="preserve"> Pa</v>
      </c>
      <c r="G107" s="759" t="str">
        <f>IF(ISNUMBER(SEARCH("KSA",$D107)),$C107*0.25, "")</f>
        <v/>
      </c>
      <c r="H107" s="1103" t="str">
        <f>IF(ISNUMBER(SEARCH("MUAP",$D99)),0.225*($F99/1000),IF(ISNUMBER(SEARCH("SPECIAL",$D99)),0.225*($F99/1000),(IF(ISNUMBER(SEARCH("F",$D99)),0.225*($F99/1000),""))))</f>
        <v/>
      </c>
      <c r="I107" s="1103"/>
      <c r="J107" s="735">
        <f>IF(ISNA(D107),0,(VLOOKUP(D107,'Base Costs'!$Q$4:$R$11,2,FALSE)))</f>
        <v>0</v>
      </c>
      <c r="K107" s="736">
        <f>IF(ISNA(D107),0,IF(D107="MX",J107*1,J107*C107))</f>
        <v>0</v>
      </c>
      <c r="L107" s="737">
        <v>0.44</v>
      </c>
      <c r="M107" s="738">
        <f t="shared" si="23"/>
        <v>0</v>
      </c>
      <c r="N107" s="736">
        <f>M107*VLOOKUP($B$9,'Base Costs'!$A$32:$B$37,2,FALSE)</f>
        <v>0</v>
      </c>
      <c r="O107" s="739">
        <f t="shared" si="26"/>
        <v>0</v>
      </c>
      <c r="S107" s="693"/>
      <c r="Y107" s="672"/>
    </row>
    <row r="108" spans="1:26" ht="15" hidden="1" customHeight="1" outlineLevel="1" x14ac:dyDescent="0.15">
      <c r="B108" s="269" t="s">
        <v>1351</v>
      </c>
      <c r="C108" s="740">
        <v>0</v>
      </c>
      <c r="D108" s="856" t="str">
        <f>VLOOKUP(D99,'Base Costs'!$A$39:$C$58,3,FALSE)</f>
        <v>PSU</v>
      </c>
      <c r="E108" s="758" t="str">
        <f>IF(C108=0,0,IF(D108="PSU",ROUND(I99/C108,3),""))&amp; " m³/s per filter"</f>
        <v>0 m³/s per filter</v>
      </c>
      <c r="F108" s="758" t="str">
        <f>IF(C108=0," Pa",ROUND((((I99*3600)/(C108*I96))^2),1)+20&amp; " Pa")</f>
        <v xml:space="preserve"> Pa</v>
      </c>
      <c r="G108" s="759" t="str">
        <f>IF(ISNUMBER(SEARCH("KSA",$D108)),$C108*0.25, "")</f>
        <v/>
      </c>
      <c r="H108" s="1103" t="str">
        <f>IF(ISNUMBER(SEARCH("MUAP",$D99)),0.225*($F99/1000),IF(ISNUMBER(SEARCH("SPECIAL",$D99)),0.225*($F99/1000),(IF(ISNUMBER(SEARCH("F",$D99)),0.225*($F99/1000),""))))</f>
        <v/>
      </c>
      <c r="I108" s="1103"/>
      <c r="J108" s="735"/>
      <c r="K108" s="736">
        <f>IF(ISNA(D108),0,IF(D108="MX",J108*1,J108*C108))</f>
        <v>0</v>
      </c>
      <c r="L108" s="737">
        <v>0.44</v>
      </c>
      <c r="M108" s="738">
        <f t="shared" si="23"/>
        <v>0</v>
      </c>
      <c r="N108" s="736">
        <f>M108*VLOOKUP($B$9,'Base Costs'!$A$32:$B$37,2,FALSE)</f>
        <v>0</v>
      </c>
      <c r="O108" s="739">
        <f t="shared" si="26"/>
        <v>0</v>
      </c>
      <c r="S108" s="693"/>
      <c r="Y108" s="672"/>
    </row>
    <row r="109" spans="1:26" ht="15" hidden="1" customHeight="1" outlineLevel="1" x14ac:dyDescent="0.15">
      <c r="A109" s="665">
        <v>107</v>
      </c>
      <c r="B109" s="760" t="str">
        <f>IF(ISNUMBER(SEARCH("UV",D99)),"UV-C COMPONENTS",IF(ISNUMBER(SEARCH("CMW",D99)),"WATERWASH COMPONENTS",""))</f>
        <v/>
      </c>
      <c r="C109" s="761" t="str">
        <f>IF(H97=0,"UVR",IF(I99=0,"UVR",IF(I109&gt;0,("UVR")&amp;(INDEX('Base Costs'!$AH$5:$AI$10,(MATCH((I99/H97),'Base Costs'!$AI$5:$AI$10,-1)),1))&amp;("-")&amp;(H97),"UVR")))</f>
        <v>UVR</v>
      </c>
      <c r="D109" s="769" t="str">
        <f>VLOOKUP(C109,'Base Costs'!$Z$4:$AF$77,7,FALSE)&amp;" m³/s"</f>
        <v xml:space="preserve"> m³/s</v>
      </c>
      <c r="E109" s="763" t="str">
        <f>IF(ISNUMBER(SEARCH("L",C109)),"LONG RACK IN SECTION","SHORTRACK")</f>
        <v>SHORTRACK</v>
      </c>
      <c r="F109" s="764" t="str">
        <f>IF(ISNUMBER(SEARCH("L",C109)),ROUND(F99/H99,1)&amp;" mm","")</f>
        <v/>
      </c>
      <c r="G109" s="754"/>
      <c r="H109" s="754"/>
      <c r="I109" s="751">
        <f>IF(ISNUMBER(SEARCH("UV",D99)),1, 0)</f>
        <v>0</v>
      </c>
      <c r="J109" s="735">
        <f>IF(ISNA(C109),0,VLOOKUP(C109,'Base Costs'!$Z$4:$AF$77,2,FALSE))</f>
        <v>0</v>
      </c>
      <c r="K109" s="736">
        <f t="shared" ref="K109" si="27">J109*1</f>
        <v>0</v>
      </c>
      <c r="L109" s="737">
        <v>0.44</v>
      </c>
      <c r="M109" s="738">
        <f t="shared" si="23"/>
        <v>0</v>
      </c>
      <c r="N109" s="736">
        <f>M109*VLOOKUP($B$9,'Base Costs'!$A$32:$B$37,2,FALSE)</f>
        <v>0</v>
      </c>
      <c r="O109" s="739">
        <f t="shared" si="26"/>
        <v>0</v>
      </c>
      <c r="S109" s="693"/>
      <c r="Y109" s="672"/>
    </row>
    <row r="110" spans="1:26" ht="15" hidden="1" customHeight="1" outlineLevel="1" x14ac:dyDescent="0.15">
      <c r="B110" s="730" t="str">
        <f>IF(ISNUMBER(SEARCH("UV",D99)),"UV-C 2ND FILTER",IF(ISNUMBER(SEARCH("CMW",D99)),"CONTROL PANEL",""))</f>
        <v/>
      </c>
      <c r="C110" s="758" t="s">
        <v>588</v>
      </c>
      <c r="D110" s="760" t="str">
        <f>IF(ISNUMBER(SEARCH("CP1S",$C110)),"Up to 12m of canopy","")</f>
        <v/>
      </c>
      <c r="E110" s="760" t="str">
        <f>IF(ISNUMBER(SEARCH("CMW",$D99)),"CWS REQUIREMENT @ 2Bar","")</f>
        <v/>
      </c>
      <c r="F110" s="765" t="str">
        <f>IF(ISNUMBER(SEARCH("CMW",$D99)),$F99/1000*0.02&amp;" L/S","")</f>
        <v/>
      </c>
      <c r="G110" s="754"/>
      <c r="H110" s="750"/>
      <c r="I110" s="751">
        <f>C107</f>
        <v>0</v>
      </c>
      <c r="J110" s="735">
        <f>IF(ISNUMBER(SEARCH("CMW",D99)),VLOOKUP(C110,CCBASE!$A$81:$B$85,2,FALSE),(IF(I109&gt;0,'Base Costs'!$R$7,0)))</f>
        <v>0</v>
      </c>
      <c r="K110" s="736">
        <f>J110*C107</f>
        <v>0</v>
      </c>
      <c r="L110" s="737">
        <v>0.44</v>
      </c>
      <c r="M110" s="738">
        <f t="shared" si="23"/>
        <v>0</v>
      </c>
      <c r="N110" s="736">
        <f>M110*VLOOKUP($B$9,'Base Costs'!$A$32:$B$37,2,FALSE)</f>
        <v>0</v>
      </c>
      <c r="O110" s="739">
        <f t="shared" si="26"/>
        <v>0</v>
      </c>
      <c r="S110" s="693"/>
      <c r="Y110" s="672"/>
    </row>
    <row r="111" spans="1:26" ht="15" hidden="1" customHeight="1" outlineLevel="1" x14ac:dyDescent="0.15">
      <c r="A111" s="665">
        <v>285</v>
      </c>
      <c r="B111" s="730" t="str">
        <f>IF(ISNUMBER(SEARCH("UV",D99)),"UV-C WORKSHOP WIRING",IF(ISNUMBER(SEARCH("CMW",D99)),"W/W PODS",""))</f>
        <v/>
      </c>
      <c r="C111" s="758" t="s">
        <v>714</v>
      </c>
      <c r="D111" s="758">
        <v>0</v>
      </c>
      <c r="E111" s="760" t="str">
        <f>IF(ISNUMBER(SEARCH("CMW",$D99)),"HWS REQUIREMENT @ 60°C ","")</f>
        <v/>
      </c>
      <c r="F111" s="766" t="str">
        <f>IF(ISNUMBER(SEARCH("CMW",$D99)),$F99/1000*0.103&amp;" L/S","")</f>
        <v/>
      </c>
      <c r="G111" s="754"/>
      <c r="H111" s="750"/>
      <c r="I111" s="751">
        <f>IF(I109&gt;0,H97,0)</f>
        <v>0</v>
      </c>
      <c r="J111" s="735">
        <f>IF(ISNUMBER(SEARCH("CMW",D99)),VLOOKUP(C111,'Base Costs'!$Q$35:$R$45,2,FALSE),IF(I111=0,0,36*1.03))</f>
        <v>0</v>
      </c>
      <c r="K111" s="736">
        <f>IF(ISNUMBER(SEARCH("CMW",D99)),J111*D111,J111*H97)</f>
        <v>0</v>
      </c>
      <c r="L111" s="737">
        <v>0.44</v>
      </c>
      <c r="M111" s="738">
        <f t="shared" si="23"/>
        <v>0</v>
      </c>
      <c r="N111" s="736">
        <f>M111*VLOOKUP($B$9,'Base Costs'!$A$32:$B$37,2,FALSE)</f>
        <v>0</v>
      </c>
      <c r="O111" s="739">
        <f t="shared" si="26"/>
        <v>0</v>
      </c>
      <c r="S111" s="693"/>
      <c r="Y111" s="672"/>
    </row>
    <row r="112" spans="1:26" ht="15" hidden="1" customHeight="1" outlineLevel="1" x14ac:dyDescent="0.15">
      <c r="A112" s="665">
        <v>286</v>
      </c>
      <c r="B112" s="730" t="str">
        <f>IF(ISNUMBER(SEARCH("CMW",$D99)),"CWS/HWS PIPEWORK UP TO 5M",IF(ISNUMBER(SEARCH("UV",$D99)),"MU5 INTERFACE", ""))</f>
        <v/>
      </c>
      <c r="C112" s="758">
        <v>1</v>
      </c>
      <c r="D112" s="767"/>
      <c r="E112" s="760" t="str">
        <f>IF(ISNUMBER(SEARCH("CMW",$D99)),"HW STORAGE 3m wash","")</f>
        <v/>
      </c>
      <c r="F112" s="765" t="str">
        <f>IF(ISNUMBER(SEARCH("CMW",$D99)),($F99/1000)*0.103*180&amp;" L","")</f>
        <v/>
      </c>
      <c r="G112" s="749"/>
      <c r="H112" s="750"/>
      <c r="I112" s="751">
        <f>IF(I109=0,0,1)</f>
        <v>0</v>
      </c>
      <c r="J112" s="735">
        <f>IF(B112="CWS/HWS PIPEWORK UP TO 5M",CCBASE!$B$65,IF(I112=0,0,100*1.44))</f>
        <v>0</v>
      </c>
      <c r="K112" s="736">
        <f>J112*C112</f>
        <v>0</v>
      </c>
      <c r="L112" s="737">
        <v>0.44</v>
      </c>
      <c r="M112" s="738">
        <f t="shared" si="23"/>
        <v>0</v>
      </c>
      <c r="N112" s="736">
        <f>M112*VLOOKUP($B$9,'Base Costs'!$A$32:$B$37,2,FALSE)</f>
        <v>0</v>
      </c>
      <c r="O112" s="739">
        <f t="shared" si="26"/>
        <v>0</v>
      </c>
      <c r="S112" s="693"/>
      <c r="Y112" s="672"/>
    </row>
    <row r="113" spans="1:26" ht="15" customHeight="1" collapsed="1" x14ac:dyDescent="0.15">
      <c r="B113" s="713"/>
      <c r="C113" s="770"/>
      <c r="E113" s="770"/>
      <c r="F113" s="770"/>
      <c r="G113" s="715" t="s">
        <v>347</v>
      </c>
      <c r="H113" s="714"/>
      <c r="I113" s="715">
        <f>IF(ISNUMBER(SEARCH("UV",HD21)),49.7,71.75)</f>
        <v>71.75</v>
      </c>
      <c r="J113" s="716"/>
      <c r="K113" s="771"/>
      <c r="L113" s="772"/>
      <c r="M113" s="771"/>
      <c r="N113" s="771"/>
      <c r="S113" s="693"/>
      <c r="Y113" s="672"/>
    </row>
    <row r="114" spans="1:26" s="673" customFormat="1" ht="15" customHeight="1" x14ac:dyDescent="0.15">
      <c r="A114" s="665"/>
      <c r="B114" s="241" t="s">
        <v>604</v>
      </c>
      <c r="C114" s="719">
        <f>IF(H114&lt;1,0,(((VLOOKUP(G114,CC!$D$2:$F$670,3,FALSE))*H114)+IF(ISNUMBER(SEARCH("CMW",D116)),VLOOKUP(C127,CCBASE!$A$81:$C$85,3,FALSE),0)+(VLOOKUP(C119,CCBASE!$A$53:$C$73,3,FALSE)*D119)+(VLOOKUP(C120,CCBASE!$A$53:$C$73,3,FALSE)*D120))&amp;" HRS")</f>
        <v>0</v>
      </c>
      <c r="D114" s="720" t="str">
        <f>D116</f>
        <v>CANOPY TYPE</v>
      </c>
      <c r="E114" s="701">
        <f>CEILING(IF(C116="WALL",E116, (E116/2)),250)</f>
        <v>0</v>
      </c>
      <c r="F114" s="701">
        <f>IF(H114&lt;1,0,CEILING((F116-100)/H116,250))</f>
        <v>0</v>
      </c>
      <c r="G114" s="720" t="str">
        <f>D114&amp;F114&amp;E114</f>
        <v>CANOPY TYPE00</v>
      </c>
      <c r="H114" s="719">
        <f>IF(E116=0,0,IF(F116=0,0,(E116/(IF(C116="WALL",E116,(E116/2)))*H116)))</f>
        <v>0</v>
      </c>
      <c r="I114" s="719" t="str">
        <f>I116&amp;" m³/s"</f>
        <v xml:space="preserve"> m³/s</v>
      </c>
      <c r="J114" s="721"/>
      <c r="K114" s="722">
        <f>SUBTOTAL(9,K116:K129)</f>
        <v>0</v>
      </c>
      <c r="L114" s="703" t="str">
        <f>IF(K114=0,"-",O114/M114)</f>
        <v>-</v>
      </c>
      <c r="M114" s="722">
        <f>SUBTOTAL(9,M116:M129)</f>
        <v>0</v>
      </c>
      <c r="N114" s="704">
        <f>SUBTOTAL(9,N116:N129)</f>
        <v>0</v>
      </c>
      <c r="O114" s="722">
        <f>SUBTOTAL(9,O116:O129)</f>
        <v>0</v>
      </c>
      <c r="P114" s="672"/>
      <c r="Q114" s="672"/>
      <c r="R114" s="672"/>
      <c r="S114" s="712"/>
      <c r="T114" s="672"/>
      <c r="X114" s="672"/>
      <c r="Y114" s="672"/>
      <c r="Z114" s="672"/>
    </row>
    <row r="115" spans="1:26" ht="15" hidden="1" customHeight="1" outlineLevel="1" x14ac:dyDescent="0.15">
      <c r="B115" s="723"/>
      <c r="C115" s="724" t="s">
        <v>198</v>
      </c>
      <c r="D115" s="725" t="s">
        <v>255</v>
      </c>
      <c r="E115" s="724" t="s">
        <v>128</v>
      </c>
      <c r="F115" s="724" t="s">
        <v>129</v>
      </c>
      <c r="G115" s="724" t="s">
        <v>172</v>
      </c>
      <c r="H115" s="724" t="s">
        <v>197</v>
      </c>
      <c r="I115" s="725" t="s">
        <v>256</v>
      </c>
      <c r="J115" s="726"/>
      <c r="K115" s="727"/>
      <c r="L115" s="727"/>
      <c r="M115" s="728"/>
      <c r="N115" s="729"/>
      <c r="O115" s="711"/>
      <c r="S115" s="693"/>
      <c r="Y115" s="672"/>
    </row>
    <row r="116" spans="1:26" ht="15" hidden="1" customHeight="1" outlineLevel="1" x14ac:dyDescent="0.2">
      <c r="A116" s="665">
        <v>210</v>
      </c>
      <c r="B116" s="730" t="s">
        <v>182</v>
      </c>
      <c r="C116" s="731" t="s">
        <v>183</v>
      </c>
      <c r="D116" s="732" t="s">
        <v>130</v>
      </c>
      <c r="E116" s="733"/>
      <c r="F116" s="733"/>
      <c r="G116" s="733"/>
      <c r="H116" s="734"/>
      <c r="I116" s="733"/>
      <c r="J116" s="735">
        <f>IF(ISNA(C114),0,IF(F114&gt;3000,0,(IF(H114&lt;1,0,((VLOOKUP(G114,CC!$D$2:$E$670,2,FALSE))*H114)+((VLOOKUP(G114,CC!$D$2:$AD$670,17,FALSE)*(H114/H116)))))))</f>
        <v>0</v>
      </c>
      <c r="K116" s="736">
        <f>J116*1</f>
        <v>0</v>
      </c>
      <c r="L116" s="737">
        <v>0.44</v>
      </c>
      <c r="M116" s="738">
        <f t="shared" ref="M116:M129" si="28">K116/(1-L116)*(1+$C$9)</f>
        <v>0</v>
      </c>
      <c r="N116" s="736">
        <f>M116*VLOOKUP($B$9,'Base Costs'!$A$32:$B$37,2,FALSE)</f>
        <v>0</v>
      </c>
      <c r="O116" s="739">
        <f t="shared" ref="O116:O120" si="29">M116-K116</f>
        <v>0</v>
      </c>
      <c r="S116" s="693"/>
      <c r="Y116" s="672"/>
    </row>
    <row r="117" spans="1:26" ht="15" hidden="1" customHeight="1" outlineLevel="1" x14ac:dyDescent="0.15">
      <c r="A117" s="665">
        <v>104</v>
      </c>
      <c r="B117" s="730" t="s">
        <v>4</v>
      </c>
      <c r="C117" s="732" t="s">
        <v>185</v>
      </c>
      <c r="D117" s="740"/>
      <c r="E117" s="741"/>
      <c r="F117" s="742"/>
      <c r="G117" s="743"/>
      <c r="H117" s="667"/>
      <c r="I117" s="667"/>
      <c r="J117" s="735">
        <f>IF(ISNA(C114),0,IF(D117=0,0,IF(C117="FLO",VLOOKUP(E117,'Base Costs'!$M$4:$N$14,2,FALSE),IF(C117="LED STRIP",VLOOKUP(E117,'Base Costs'!$M$4:$N$14,2,FALSE),(VLOOKUP(C117,'Base Costs'!$M$4:$N$14,2,FALSE))))))</f>
        <v>0</v>
      </c>
      <c r="K117" s="736">
        <f>J117*D117</f>
        <v>0</v>
      </c>
      <c r="L117" s="737">
        <v>0.31</v>
      </c>
      <c r="M117" s="738">
        <f t="shared" si="28"/>
        <v>0</v>
      </c>
      <c r="N117" s="736">
        <f>M117*VLOOKUP($B$9,'Base Costs'!$A$32:$B$37,2,FALSE)</f>
        <v>0</v>
      </c>
      <c r="O117" s="739">
        <f t="shared" si="29"/>
        <v>0</v>
      </c>
      <c r="P117" s="744"/>
      <c r="S117" s="693"/>
      <c r="Y117" s="672"/>
    </row>
    <row r="118" spans="1:26" ht="15" hidden="1" customHeight="1" outlineLevel="1" x14ac:dyDescent="0.15">
      <c r="A118" s="665">
        <v>234</v>
      </c>
      <c r="B118" s="269" t="s">
        <v>839</v>
      </c>
      <c r="C118" s="958" t="s">
        <v>839</v>
      </c>
      <c r="D118" s="746"/>
      <c r="E118" s="747"/>
      <c r="F118" s="748"/>
      <c r="G118" s="749"/>
      <c r="H118" s="750"/>
      <c r="I118" s="751">
        <v>1</v>
      </c>
      <c r="J118" s="735">
        <f>VLOOKUP(C118,'Base Costs'!$U$4:$V$41,2,FALSE)</f>
        <v>0</v>
      </c>
      <c r="K118" s="736">
        <f t="shared" ref="K118" si="30">J118*1</f>
        <v>0</v>
      </c>
      <c r="L118" s="737">
        <v>0.25</v>
      </c>
      <c r="M118" s="738">
        <f t="shared" si="28"/>
        <v>0</v>
      </c>
      <c r="N118" s="736">
        <f>M118*VLOOKUP($B$9,'Base Costs'!$A$32:$B$37,2,FALSE)</f>
        <v>0</v>
      </c>
      <c r="O118" s="739">
        <f t="shared" si="29"/>
        <v>0</v>
      </c>
      <c r="S118" s="693"/>
      <c r="Y118" s="672"/>
    </row>
    <row r="119" spans="1:26" ht="15" hidden="1" customHeight="1" outlineLevel="1" x14ac:dyDescent="0.15">
      <c r="B119" s="269" t="s">
        <v>1396</v>
      </c>
      <c r="C119" s="958" t="s">
        <v>1396</v>
      </c>
      <c r="D119" s="972">
        <v>1</v>
      </c>
      <c r="E119" s="753"/>
      <c r="F119" s="754"/>
      <c r="G119" s="749"/>
      <c r="H119" s="750"/>
      <c r="I119" s="755"/>
      <c r="J119" s="735">
        <f>VLOOKUP(C119,'Base Costs'!$U$44:$V$56,2,FALSE)</f>
        <v>0</v>
      </c>
      <c r="K119" s="736">
        <f>J119*D119</f>
        <v>0</v>
      </c>
      <c r="L119" s="737">
        <v>0.35</v>
      </c>
      <c r="M119" s="738">
        <f t="shared" si="28"/>
        <v>0</v>
      </c>
      <c r="N119" s="736">
        <f>M119*VLOOKUP($B$9,'Base Costs'!$A$32:$B$37,2,FALSE)</f>
        <v>0</v>
      </c>
      <c r="O119" s="739">
        <f t="shared" si="29"/>
        <v>0</v>
      </c>
      <c r="S119" s="693"/>
      <c r="Y119" s="672"/>
    </row>
    <row r="120" spans="1:26" ht="15" hidden="1" customHeight="1" outlineLevel="1" x14ac:dyDescent="0.15">
      <c r="B120" s="583" t="s">
        <v>339</v>
      </c>
      <c r="C120" s="33" t="s">
        <v>342</v>
      </c>
      <c r="D120" s="734"/>
      <c r="E120" s="753" t="str">
        <f>IF(C120="","",VLOOKUP(C120,CCBASE!$A$53:$D$73,4,FALSE))</f>
        <v/>
      </c>
      <c r="F120" s="754"/>
      <c r="G120" s="749"/>
      <c r="H120" s="750"/>
      <c r="I120" s="755"/>
      <c r="J120" s="735">
        <f>IF(C120="",0,VLOOKUP(C120,CCBASE!$A$53:$C$73,2,FALSE))</f>
        <v>0</v>
      </c>
      <c r="K120" s="736">
        <f>J120*D120</f>
        <v>0</v>
      </c>
      <c r="L120" s="737">
        <v>0.44</v>
      </c>
      <c r="M120" s="738">
        <f t="shared" si="28"/>
        <v>0</v>
      </c>
      <c r="N120" s="736">
        <f>M120*VLOOKUP($B$9,'Base Costs'!$A$32:$B$37,2,FALSE)</f>
        <v>0</v>
      </c>
      <c r="O120" s="739">
        <f t="shared" si="29"/>
        <v>0</v>
      </c>
      <c r="S120" s="693"/>
      <c r="Y120" s="672"/>
    </row>
    <row r="121" spans="1:26" ht="15" hidden="1" customHeight="1" outlineLevel="1" x14ac:dyDescent="0.15">
      <c r="A121" s="665">
        <v>289</v>
      </c>
      <c r="B121" s="583" t="s">
        <v>9</v>
      </c>
      <c r="C121" s="33" t="s">
        <v>565</v>
      </c>
      <c r="D121" s="756">
        <f>ROUNDUP($F116/1000,0)</f>
        <v>0</v>
      </c>
      <c r="E121" s="1107" t="s">
        <v>1059</v>
      </c>
      <c r="F121" s="1105"/>
      <c r="G121" s="754"/>
      <c r="H121" s="750"/>
      <c r="I121" s="755"/>
      <c r="J121" s="735">
        <f>IF(D121=0,0,VLOOKUP(C121,'Base Costs'!$A$19:$B$22,2,FALSE))</f>
        <v>0</v>
      </c>
      <c r="K121" s="736">
        <f>J121*D121</f>
        <v>0</v>
      </c>
      <c r="L121" s="737">
        <v>0.44</v>
      </c>
      <c r="M121" s="738">
        <f t="shared" si="28"/>
        <v>0</v>
      </c>
      <c r="N121" s="736">
        <f>M121*VLOOKUP($B$9,'Base Costs'!$A$32:$B$37,2,FALSE)</f>
        <v>0</v>
      </c>
      <c r="O121" s="739">
        <f>M121-K121</f>
        <v>0</v>
      </c>
      <c r="S121" s="693"/>
      <c r="Y121" s="672"/>
    </row>
    <row r="122" spans="1:26" ht="15" hidden="1" customHeight="1" outlineLevel="1" x14ac:dyDescent="0.15">
      <c r="A122" s="665">
        <v>242</v>
      </c>
      <c r="B122" s="583" t="s">
        <v>44</v>
      </c>
      <c r="C122" s="752"/>
      <c r="D122" s="741" t="s">
        <v>335</v>
      </c>
      <c r="E122" s="749"/>
      <c r="F122" s="748"/>
      <c r="G122" s="749"/>
      <c r="H122" s="750"/>
      <c r="I122" s="755"/>
      <c r="J122" s="735">
        <f>IF(C122=0,0,'Base Costs'!$B$26)</f>
        <v>0</v>
      </c>
      <c r="K122" s="736">
        <f>J122*C122</f>
        <v>0</v>
      </c>
      <c r="L122" s="737">
        <v>0.44</v>
      </c>
      <c r="M122" s="738">
        <f t="shared" si="28"/>
        <v>0</v>
      </c>
      <c r="N122" s="736">
        <f>M122*VLOOKUP($B$9,'Base Costs'!$A$32:$B$37,2,FALSE)</f>
        <v>0</v>
      </c>
      <c r="O122" s="739">
        <f t="shared" ref="O122:O129" si="31">M122-K122</f>
        <v>0</v>
      </c>
      <c r="S122" s="693"/>
      <c r="Y122" s="672"/>
    </row>
    <row r="123" spans="1:26" ht="15" hidden="1" customHeight="1" outlineLevel="1" x14ac:dyDescent="0.15">
      <c r="A123" s="665">
        <v>220</v>
      </c>
      <c r="B123" s="730" t="s">
        <v>43</v>
      </c>
      <c r="C123" s="752"/>
      <c r="D123" s="741" t="s">
        <v>336</v>
      </c>
      <c r="E123" s="748"/>
      <c r="F123" s="748"/>
      <c r="G123" s="757" t="str">
        <f>IF(ISNUMBER(SEARCH("KSA",$D124)),"MAX. EXTRACT (m³/s)", "")</f>
        <v/>
      </c>
      <c r="H123" s="1102" t="str">
        <f>IF(ISNUMBER(SEARCH("MUAP",$D116)),"MAX.  SUPPLY (m³/s)",IF(ISNUMBER(SEARCH("SPECIAL",$D116)),"MAX.  SUPPLY (m³/s)",(IF(ISNUMBER(SEARCH("F",$D116)),"MAX.  SUPPLY (m³/s)",""))))</f>
        <v/>
      </c>
      <c r="I123" s="1102"/>
      <c r="J123" s="735">
        <f>IF(C123=0,0,'Base Costs'!$B$29)</f>
        <v>0</v>
      </c>
      <c r="K123" s="736">
        <f>J123*C123</f>
        <v>0</v>
      </c>
      <c r="L123" s="737">
        <v>0.44</v>
      </c>
      <c r="M123" s="738">
        <f t="shared" si="28"/>
        <v>0</v>
      </c>
      <c r="N123" s="736">
        <f>M123*VLOOKUP($B$9,'Base Costs'!$A$32:$B$37,2,FALSE)</f>
        <v>0</v>
      </c>
      <c r="O123" s="739">
        <f t="shared" si="31"/>
        <v>0</v>
      </c>
      <c r="S123" s="693"/>
      <c r="Y123" s="672"/>
    </row>
    <row r="124" spans="1:26" ht="15" hidden="1" customHeight="1" outlineLevel="1" x14ac:dyDescent="0.15">
      <c r="A124" s="665">
        <v>103</v>
      </c>
      <c r="B124" s="730" t="s">
        <v>3</v>
      </c>
      <c r="C124" s="740">
        <f>IF(ISNUMBER(SEARCH("CMW",D116)),1,IF(F114=0,0,(ROUNDDOWN(((((F116-(100+(50*H114))))/H116)/500),0)*H114)))</f>
        <v>0</v>
      </c>
      <c r="D124" s="741" t="str">
        <f>VLOOKUP(D116,'Base Costs'!$A$39:$B$58,2,FALSE)</f>
        <v>FILTER TYPE</v>
      </c>
      <c r="E124" s="758" t="str">
        <f>IF(C124=0,0,IF(D124="KSA",ROUND(I116/C124,3),""))&amp; "  m³/s per filter"</f>
        <v>0  m³/s per filter</v>
      </c>
      <c r="F124" s="758" t="str">
        <f>IF(C124=0," Pa",ROUND((((I116*3600)/(C124*I113))^2),1)+20&amp; " Pa")</f>
        <v xml:space="preserve"> Pa</v>
      </c>
      <c r="G124" s="759" t="str">
        <f>IF(ISNUMBER(SEARCH("KSA",$D124)),$C124*0.25, "")</f>
        <v/>
      </c>
      <c r="H124" s="1103" t="str">
        <f>IF(ISNUMBER(SEARCH("MUAP",$D116)),0.225*($F116/1000),IF(ISNUMBER(SEARCH("SPECIAL",$D116)),0.225*($F116/1000),(IF(ISNUMBER(SEARCH("F",$D116)),0.225*($F116/1000),""))))</f>
        <v/>
      </c>
      <c r="I124" s="1103"/>
      <c r="J124" s="735">
        <f>IF(ISNA(D124),0,(VLOOKUP(D124,'Base Costs'!$Q$4:$R$11,2,FALSE)))</f>
        <v>0</v>
      </c>
      <c r="K124" s="736">
        <f>IF(ISNA(D124),0,IF(D124="MX",J124*1,J124*C124))</f>
        <v>0</v>
      </c>
      <c r="L124" s="737">
        <v>0.44</v>
      </c>
      <c r="M124" s="738">
        <f t="shared" si="28"/>
        <v>0</v>
      </c>
      <c r="N124" s="736">
        <f>M124*VLOOKUP($B$9,'Base Costs'!$A$32:$B$37,2,FALSE)</f>
        <v>0</v>
      </c>
      <c r="O124" s="739">
        <f t="shared" si="31"/>
        <v>0</v>
      </c>
      <c r="S124" s="693"/>
      <c r="Y124" s="672"/>
    </row>
    <row r="125" spans="1:26" ht="15" hidden="1" customHeight="1" outlineLevel="1" x14ac:dyDescent="0.15">
      <c r="B125" s="269" t="s">
        <v>1351</v>
      </c>
      <c r="C125" s="740">
        <v>0</v>
      </c>
      <c r="D125" s="856" t="str">
        <f>VLOOKUP(D116,'Base Costs'!$A$39:$C$58,3,FALSE)</f>
        <v>PSU</v>
      </c>
      <c r="E125" s="758" t="str">
        <f>IF(C125=0,0,IF(D125="PSU",ROUND(I116/C125,3),""))&amp; " m³/s per filter"</f>
        <v>0 m³/s per filter</v>
      </c>
      <c r="F125" s="758" t="str">
        <f>IF(C125=0," Pa",ROUND((((I116*3600)/(C125*I113))^2),1)+20&amp; " Pa")</f>
        <v xml:space="preserve"> Pa</v>
      </c>
      <c r="G125" s="759" t="str">
        <f>IF(ISNUMBER(SEARCH("KSA",$D125)),$C125*0.25, "")</f>
        <v/>
      </c>
      <c r="H125" s="1103" t="str">
        <f>IF(ISNUMBER(SEARCH("MUAP",$D116)),0.225*($F116/1000),IF(ISNUMBER(SEARCH("SPECIAL",$D116)),0.225*($F116/1000),(IF(ISNUMBER(SEARCH("F",$D116)),0.225*($F116/1000),""))))</f>
        <v/>
      </c>
      <c r="I125" s="1103"/>
      <c r="J125" s="735"/>
      <c r="K125" s="736">
        <f>IF(ISNA(D125),0,IF(D125="MX",J125*1,J125*C125))</f>
        <v>0</v>
      </c>
      <c r="L125" s="737">
        <v>0.44</v>
      </c>
      <c r="M125" s="738">
        <f t="shared" si="28"/>
        <v>0</v>
      </c>
      <c r="N125" s="736">
        <f>M125*VLOOKUP($B$9,'Base Costs'!$A$32:$B$37,2,FALSE)</f>
        <v>0</v>
      </c>
      <c r="O125" s="739">
        <f t="shared" si="31"/>
        <v>0</v>
      </c>
      <c r="S125" s="693"/>
      <c r="Y125" s="672"/>
    </row>
    <row r="126" spans="1:26" ht="15" hidden="1" customHeight="1" outlineLevel="1" x14ac:dyDescent="0.15">
      <c r="A126" s="665">
        <v>107</v>
      </c>
      <c r="B126" s="760" t="str">
        <f>IF(ISNUMBER(SEARCH("UV",D116)),"UV-C COMPONENTS",IF(ISNUMBER(SEARCH("CMW",D116)),"WATERWASH COMPONENTS",""))</f>
        <v/>
      </c>
      <c r="C126" s="761" t="str">
        <f>IF(H114=0,"UVR",IF(I116=0,"UVR",IF(I126&gt;0,("UVR")&amp;(INDEX('Base Costs'!$AH$5:$AI$10,(MATCH((I116/H114),'Base Costs'!$AI$5:$AI$10,-1)),1))&amp;("-")&amp;(H114),"UVR")))</f>
        <v>UVR</v>
      </c>
      <c r="D126" s="769" t="str">
        <f>VLOOKUP(C126,'Base Costs'!$Z$4:$AF$77,7,FALSE)&amp;" m³/s"</f>
        <v xml:space="preserve"> m³/s</v>
      </c>
      <c r="E126" s="763" t="str">
        <f>IF(ISNUMBER(SEARCH("L",C126)),"LONG RACK IN SECTION","SHORTRACK")</f>
        <v>SHORTRACK</v>
      </c>
      <c r="F126" s="764" t="str">
        <f>IF(ISNUMBER(SEARCH("L",C126)),ROUND(F116/H116,1)&amp;" mm","")</f>
        <v/>
      </c>
      <c r="G126" s="754"/>
      <c r="H126" s="754"/>
      <c r="I126" s="751">
        <f>IF(ISNUMBER(SEARCH("UV",D116)),1, 0)</f>
        <v>0</v>
      </c>
      <c r="J126" s="735">
        <f>IF(ISNA(C126),0,VLOOKUP(C126,'Base Costs'!$Z$4:$AF$77,2,FALSE))</f>
        <v>0</v>
      </c>
      <c r="K126" s="736">
        <f t="shared" ref="K126" si="32">J126*1</f>
        <v>0</v>
      </c>
      <c r="L126" s="737">
        <v>0.44</v>
      </c>
      <c r="M126" s="738">
        <f t="shared" si="28"/>
        <v>0</v>
      </c>
      <c r="N126" s="736">
        <f>M126*VLOOKUP($B$9,'Base Costs'!$A$32:$B$37,2,FALSE)</f>
        <v>0</v>
      </c>
      <c r="O126" s="739">
        <f t="shared" si="31"/>
        <v>0</v>
      </c>
      <c r="S126" s="693"/>
      <c r="Y126" s="672"/>
    </row>
    <row r="127" spans="1:26" ht="15" hidden="1" customHeight="1" outlineLevel="1" x14ac:dyDescent="0.15">
      <c r="B127" s="730" t="str">
        <f>IF(ISNUMBER(SEARCH("UV",D116)),"UV-C 2ND FILTER",IF(ISNUMBER(SEARCH("CMW",D116)),"CONTROL PANEL",""))</f>
        <v/>
      </c>
      <c r="C127" s="758" t="s">
        <v>588</v>
      </c>
      <c r="D127" s="760" t="str">
        <f>IF(ISNUMBER(SEARCH("CP1S",$C127)),"Up to 12m of canopy","")</f>
        <v/>
      </c>
      <c r="E127" s="760" t="str">
        <f>IF(ISNUMBER(SEARCH("CMW",$D116)),"CWS REQUIREMENT @ 2Bar","")</f>
        <v/>
      </c>
      <c r="F127" s="765" t="str">
        <f>IF(ISNUMBER(SEARCH("CMW",$D116)),$F116/1000*0.02&amp;" L/S","")</f>
        <v/>
      </c>
      <c r="G127" s="754"/>
      <c r="H127" s="750"/>
      <c r="I127" s="751">
        <f>C124</f>
        <v>0</v>
      </c>
      <c r="J127" s="735">
        <f>IF(ISNUMBER(SEARCH("CMW",D116)),VLOOKUP(C127,CCBASE!$A$81:$B$85,2,FALSE),(IF(I126&gt;0,'Base Costs'!$R$7,0)))</f>
        <v>0</v>
      </c>
      <c r="K127" s="736">
        <f>J127*C124</f>
        <v>0</v>
      </c>
      <c r="L127" s="737">
        <v>0.44</v>
      </c>
      <c r="M127" s="738">
        <f t="shared" si="28"/>
        <v>0</v>
      </c>
      <c r="N127" s="736">
        <f>M127*VLOOKUP($B$9,'Base Costs'!$A$32:$B$37,2,FALSE)</f>
        <v>0</v>
      </c>
      <c r="O127" s="739">
        <f t="shared" si="31"/>
        <v>0</v>
      </c>
      <c r="S127" s="693"/>
      <c r="Y127" s="672"/>
    </row>
    <row r="128" spans="1:26" ht="15" hidden="1" customHeight="1" outlineLevel="1" x14ac:dyDescent="0.15">
      <c r="A128" s="665">
        <v>285</v>
      </c>
      <c r="B128" s="730" t="str">
        <f>IF(ISNUMBER(SEARCH("UV",D116)),"UV-C WORKSHOP WIRING",IF(ISNUMBER(SEARCH("CMW",D116)),"W/W PODS",""))</f>
        <v/>
      </c>
      <c r="C128" s="758" t="s">
        <v>714</v>
      </c>
      <c r="D128" s="758">
        <v>0</v>
      </c>
      <c r="E128" s="760" t="str">
        <f>IF(ISNUMBER(SEARCH("CMW",$D116)),"HWS REQUIREMENT @ 60°C ","")</f>
        <v/>
      </c>
      <c r="F128" s="766" t="str">
        <f>IF(ISNUMBER(SEARCH("CMW",$D116)),$F116/1000*0.103&amp;" L/S","")</f>
        <v/>
      </c>
      <c r="G128" s="754"/>
      <c r="H128" s="750"/>
      <c r="I128" s="751">
        <f>IF(I126&gt;0,H114,0)</f>
        <v>0</v>
      </c>
      <c r="J128" s="735">
        <f>IF(ISNUMBER(SEARCH("CMW",D116)),VLOOKUP(C128,'Base Costs'!$Q$35:$R$45,2,FALSE),IF(I128=0,0,36*1.03))</f>
        <v>0</v>
      </c>
      <c r="K128" s="736">
        <f>IF(ISNUMBER(SEARCH("CMW",D116)),J128*D128,J128*H114)</f>
        <v>0</v>
      </c>
      <c r="L128" s="737">
        <v>0.44</v>
      </c>
      <c r="M128" s="738">
        <f t="shared" si="28"/>
        <v>0</v>
      </c>
      <c r="N128" s="736">
        <f>M128*VLOOKUP($B$9,'Base Costs'!$A$32:$B$37,2,FALSE)</f>
        <v>0</v>
      </c>
      <c r="O128" s="739">
        <f t="shared" si="31"/>
        <v>0</v>
      </c>
      <c r="S128" s="693"/>
      <c r="Y128" s="672"/>
    </row>
    <row r="129" spans="1:26" ht="15" hidden="1" customHeight="1" outlineLevel="1" x14ac:dyDescent="0.15">
      <c r="A129" s="665">
        <v>286</v>
      </c>
      <c r="B129" s="730" t="str">
        <f>IF(ISNUMBER(SEARCH("CMW",$D116)),"CWS/HWS PIPEWORK UP TO 5M",IF(ISNUMBER(SEARCH("UV",$D116)),"MU5 INTERFACE", ""))</f>
        <v/>
      </c>
      <c r="C129" s="758">
        <v>1</v>
      </c>
      <c r="D129" s="767"/>
      <c r="E129" s="760" t="str">
        <f>IF(ISNUMBER(SEARCH("CMW",$D116)),"HW STORAGE 3m wash","")</f>
        <v/>
      </c>
      <c r="F129" s="765" t="str">
        <f>IF(ISNUMBER(SEARCH("CMW",$D116)),($F116/1000)*0.103*180&amp;" L","")</f>
        <v/>
      </c>
      <c r="G129" s="749"/>
      <c r="H129" s="750"/>
      <c r="I129" s="751">
        <f>IF(I126=0,0,1)</f>
        <v>0</v>
      </c>
      <c r="J129" s="735">
        <f>IF(B129="CWS/HWS PIPEWORK UP TO 5M",CCBASE!$B$65,IF(I129=0,0,100*1.44))</f>
        <v>0</v>
      </c>
      <c r="K129" s="736">
        <f>J129*C129</f>
        <v>0</v>
      </c>
      <c r="L129" s="737">
        <v>0.44</v>
      </c>
      <c r="M129" s="738">
        <f t="shared" si="28"/>
        <v>0</v>
      </c>
      <c r="N129" s="736">
        <f>M129*VLOOKUP($B$9,'Base Costs'!$A$32:$B$37,2,FALSE)</f>
        <v>0</v>
      </c>
      <c r="O129" s="739">
        <f t="shared" si="31"/>
        <v>0</v>
      </c>
      <c r="S129" s="693"/>
      <c r="Y129" s="672"/>
    </row>
    <row r="130" spans="1:26" ht="15" customHeight="1" collapsed="1" x14ac:dyDescent="0.15">
      <c r="B130" s="713"/>
      <c r="C130" s="770"/>
      <c r="E130" s="770"/>
      <c r="F130" s="770"/>
      <c r="G130" s="715" t="s">
        <v>347</v>
      </c>
      <c r="H130" s="714"/>
      <c r="I130" s="715">
        <f>IF(ISNUMBER(SEARCH("UV",D133)),49.7,71.75)</f>
        <v>71.75</v>
      </c>
      <c r="J130" s="716"/>
      <c r="K130" s="771"/>
      <c r="L130" s="772"/>
      <c r="M130" s="771"/>
      <c r="N130" s="771"/>
      <c r="S130" s="693"/>
      <c r="Y130" s="672"/>
    </row>
    <row r="131" spans="1:26" s="673" customFormat="1" ht="15" customHeight="1" x14ac:dyDescent="0.15">
      <c r="A131" s="665"/>
      <c r="B131" s="241" t="s">
        <v>604</v>
      </c>
      <c r="C131" s="719">
        <f>IF(H131&lt;1,0,(((VLOOKUP(G131,CC!$D$2:$F$670,3,FALSE))*H131)+IF(ISNUMBER(SEARCH("CMW",D133)),VLOOKUP(C144,CCBASE!$A$81:$C$85,3,FALSE),0)+(VLOOKUP(C136,CCBASE!$A$53:$C$73,3,FALSE)*D136)+(VLOOKUP(C137,CCBASE!$A$53:$C$73,3,FALSE)*D137))&amp;" HRS")</f>
        <v>0</v>
      </c>
      <c r="D131" s="720" t="str">
        <f>D133</f>
        <v>CANOPY TYPE</v>
      </c>
      <c r="E131" s="701">
        <f>CEILING(IF(C133="WALL",E133, (E133/2)),250)</f>
        <v>0</v>
      </c>
      <c r="F131" s="701">
        <f>IF(H131&lt;1,0,CEILING((F133-100)/H133,250))</f>
        <v>0</v>
      </c>
      <c r="G131" s="720" t="str">
        <f>D131&amp;F131&amp;E131</f>
        <v>CANOPY TYPE00</v>
      </c>
      <c r="H131" s="719">
        <f>IF(E133=0,0,IF(F133=0,0,(E133/(IF(C133="WALL",E133,(E133/2)))*H133)))</f>
        <v>0</v>
      </c>
      <c r="I131" s="719" t="str">
        <f>I133&amp;" m³/s"</f>
        <v xml:space="preserve"> m³/s</v>
      </c>
      <c r="J131" s="721"/>
      <c r="K131" s="722">
        <f>SUBTOTAL(9,K133:K146)</f>
        <v>0</v>
      </c>
      <c r="L131" s="703" t="str">
        <f>IF(K131=0,"-",O131/M131)</f>
        <v>-</v>
      </c>
      <c r="M131" s="722">
        <f>SUBTOTAL(9,M133:M146)</f>
        <v>0</v>
      </c>
      <c r="N131" s="704">
        <f>SUBTOTAL(9,N133:N146)</f>
        <v>0</v>
      </c>
      <c r="O131" s="722">
        <f>SUBTOTAL(9,O133:O146)</f>
        <v>0</v>
      </c>
      <c r="P131" s="672"/>
      <c r="Q131" s="672"/>
      <c r="R131" s="672"/>
      <c r="S131" s="712"/>
      <c r="T131" s="672"/>
      <c r="X131" s="672"/>
      <c r="Y131" s="672"/>
      <c r="Z131" s="672"/>
    </row>
    <row r="132" spans="1:26" ht="15" hidden="1" customHeight="1" outlineLevel="1" x14ac:dyDescent="0.15">
      <c r="B132" s="723"/>
      <c r="C132" s="724" t="s">
        <v>198</v>
      </c>
      <c r="D132" s="725" t="s">
        <v>255</v>
      </c>
      <c r="E132" s="724" t="s">
        <v>128</v>
      </c>
      <c r="F132" s="724" t="s">
        <v>129</v>
      </c>
      <c r="G132" s="724" t="s">
        <v>172</v>
      </c>
      <c r="H132" s="724" t="s">
        <v>197</v>
      </c>
      <c r="I132" s="725" t="s">
        <v>256</v>
      </c>
      <c r="J132" s="726"/>
      <c r="K132" s="727"/>
      <c r="L132" s="727"/>
      <c r="M132" s="728"/>
      <c r="N132" s="729"/>
      <c r="O132" s="711"/>
      <c r="S132" s="693"/>
      <c r="Y132" s="672"/>
    </row>
    <row r="133" spans="1:26" ht="15" hidden="1" customHeight="1" outlineLevel="1" x14ac:dyDescent="0.2">
      <c r="A133" s="665">
        <v>210</v>
      </c>
      <c r="B133" s="730" t="s">
        <v>182</v>
      </c>
      <c r="C133" s="731" t="s">
        <v>183</v>
      </c>
      <c r="D133" s="858" t="s">
        <v>130</v>
      </c>
      <c r="E133" s="733"/>
      <c r="F133" s="733"/>
      <c r="G133" s="733"/>
      <c r="H133" s="734"/>
      <c r="I133" s="733"/>
      <c r="J133" s="735">
        <f>IF(ISNA(C131),0,IF(F131&gt;3000,0,(IF(H131&lt;1,0,((VLOOKUP(G131,CC!$D$2:$E$670,2,FALSE))*H131)+((VLOOKUP(G131,CC!$D$2:$AD$670,17,FALSE)*(H131/H133)))))))</f>
        <v>0</v>
      </c>
      <c r="K133" s="736">
        <f>J133*1</f>
        <v>0</v>
      </c>
      <c r="L133" s="737">
        <v>0.44</v>
      </c>
      <c r="M133" s="738">
        <f t="shared" ref="M133:M146" si="33">K133/(1-L133)*(1+$C$9)</f>
        <v>0</v>
      </c>
      <c r="N133" s="736">
        <f>M133*VLOOKUP($B$9,'Base Costs'!$A$32:$B$37,2,FALSE)</f>
        <v>0</v>
      </c>
      <c r="O133" s="739">
        <f t="shared" ref="O133:O137" si="34">M133-K133</f>
        <v>0</v>
      </c>
      <c r="S133" s="693"/>
      <c r="Y133" s="672"/>
    </row>
    <row r="134" spans="1:26" ht="15" hidden="1" customHeight="1" outlineLevel="1" x14ac:dyDescent="0.15">
      <c r="A134" s="665">
        <v>104</v>
      </c>
      <c r="B134" s="730" t="s">
        <v>4</v>
      </c>
      <c r="C134" s="732" t="s">
        <v>185</v>
      </c>
      <c r="D134" s="740"/>
      <c r="E134" s="741"/>
      <c r="F134" s="742"/>
      <c r="G134" s="743"/>
      <c r="H134" s="667"/>
      <c r="I134" s="667"/>
      <c r="J134" s="735">
        <f>IF(ISNA(C131),0,IF(D134=0,0,IF(C134="FLO",VLOOKUP(E134,'Base Costs'!$M$4:$N$14,2,FALSE),IF(C134="LED STRIP",VLOOKUP(E134,'Base Costs'!$M$4:$N$14,2,FALSE),(VLOOKUP(C134,'Base Costs'!$M$4:$N$14,2,FALSE))))))</f>
        <v>0</v>
      </c>
      <c r="K134" s="736">
        <f>J134*D134</f>
        <v>0</v>
      </c>
      <c r="L134" s="737">
        <v>0.31</v>
      </c>
      <c r="M134" s="738">
        <f t="shared" si="33"/>
        <v>0</v>
      </c>
      <c r="N134" s="736">
        <f>M134*VLOOKUP($B$9,'Base Costs'!$A$32:$B$37,2,FALSE)</f>
        <v>0</v>
      </c>
      <c r="O134" s="739">
        <f t="shared" si="34"/>
        <v>0</v>
      </c>
      <c r="P134" s="744"/>
      <c r="S134" s="693"/>
      <c r="Y134" s="672"/>
    </row>
    <row r="135" spans="1:26" ht="15" hidden="1" customHeight="1" outlineLevel="1" x14ac:dyDescent="0.15">
      <c r="A135" s="665">
        <v>234</v>
      </c>
      <c r="B135" s="269" t="s">
        <v>1054</v>
      </c>
      <c r="C135" s="958" t="s">
        <v>839</v>
      </c>
      <c r="D135" s="746"/>
      <c r="E135" s="747"/>
      <c r="F135" s="748"/>
      <c r="G135" s="749"/>
      <c r="H135" s="750"/>
      <c r="I135" s="751">
        <v>1</v>
      </c>
      <c r="J135" s="735">
        <f>VLOOKUP(C135,'Base Costs'!$U$4:$V$41,2,FALSE)</f>
        <v>0</v>
      </c>
      <c r="K135" s="736">
        <f t="shared" ref="K135" si="35">J135*1</f>
        <v>0</v>
      </c>
      <c r="L135" s="737">
        <v>0.25</v>
      </c>
      <c r="M135" s="738">
        <f t="shared" si="33"/>
        <v>0</v>
      </c>
      <c r="N135" s="736">
        <f>M135*VLOOKUP($B$9,'Base Costs'!$A$32:$B$37,2,FALSE)</f>
        <v>0</v>
      </c>
      <c r="O135" s="739">
        <f t="shared" si="34"/>
        <v>0</v>
      </c>
      <c r="S135" s="693"/>
      <c r="Y135" s="672"/>
    </row>
    <row r="136" spans="1:26" ht="15" hidden="1" customHeight="1" outlineLevel="1" x14ac:dyDescent="0.15">
      <c r="B136" s="269" t="s">
        <v>1396</v>
      </c>
      <c r="C136" s="958" t="s">
        <v>1396</v>
      </c>
      <c r="D136" s="972">
        <v>1</v>
      </c>
      <c r="E136" s="753"/>
      <c r="F136" s="754"/>
      <c r="G136" s="749"/>
      <c r="H136" s="750"/>
      <c r="I136" s="755"/>
      <c r="J136" s="735">
        <f>VLOOKUP(C136,'Base Costs'!$U$44:$V$56,2,FALSE)</f>
        <v>0</v>
      </c>
      <c r="K136" s="736">
        <f>J136*D136</f>
        <v>0</v>
      </c>
      <c r="L136" s="737">
        <v>0.35</v>
      </c>
      <c r="M136" s="738">
        <f t="shared" si="33"/>
        <v>0</v>
      </c>
      <c r="N136" s="736">
        <f>M136*VLOOKUP($B$9,'Base Costs'!$A$32:$B$37,2,FALSE)</f>
        <v>0</v>
      </c>
      <c r="O136" s="739">
        <f t="shared" si="34"/>
        <v>0</v>
      </c>
      <c r="S136" s="693"/>
      <c r="Y136" s="672"/>
    </row>
    <row r="137" spans="1:26" ht="15" hidden="1" customHeight="1" outlineLevel="1" x14ac:dyDescent="0.15">
      <c r="B137" s="269" t="s">
        <v>339</v>
      </c>
      <c r="C137" s="752" t="s">
        <v>342</v>
      </c>
      <c r="D137" s="734"/>
      <c r="E137" s="753" t="str">
        <f>IF(C137="","",VLOOKUP(C137,CCBASE!$A$53:$D$73,4,FALSE))</f>
        <v/>
      </c>
      <c r="F137" s="754"/>
      <c r="G137" s="749"/>
      <c r="H137" s="750"/>
      <c r="I137" s="755"/>
      <c r="J137" s="735">
        <f>IF(C137="",0,VLOOKUP(C137,CCBASE!$A$53:$C$73,2,FALSE))</f>
        <v>0</v>
      </c>
      <c r="K137" s="736">
        <f>J137*D137</f>
        <v>0</v>
      </c>
      <c r="L137" s="737">
        <v>0.44</v>
      </c>
      <c r="M137" s="738">
        <f t="shared" si="33"/>
        <v>0</v>
      </c>
      <c r="N137" s="736">
        <f>M137*VLOOKUP($B$9,'Base Costs'!$A$32:$B$37,2,FALSE)</f>
        <v>0</v>
      </c>
      <c r="O137" s="739">
        <f t="shared" si="34"/>
        <v>0</v>
      </c>
      <c r="S137" s="693"/>
      <c r="Y137" s="672"/>
    </row>
    <row r="138" spans="1:26" ht="15" hidden="1" customHeight="1" outlineLevel="1" x14ac:dyDescent="0.15">
      <c r="A138" s="665">
        <v>289</v>
      </c>
      <c r="B138" s="730" t="s">
        <v>9</v>
      </c>
      <c r="C138" s="752" t="s">
        <v>565</v>
      </c>
      <c r="D138" s="756">
        <f>ROUNDUP($F133/1000,0)</f>
        <v>0</v>
      </c>
      <c r="E138" s="1107" t="s">
        <v>1059</v>
      </c>
      <c r="F138" s="1105"/>
      <c r="G138" s="754"/>
      <c r="H138" s="750"/>
      <c r="I138" s="755"/>
      <c r="J138" s="735">
        <f>IF(D138=0,0,VLOOKUP(C138,'Base Costs'!$A$19:$B$22,2,FALSE))</f>
        <v>0</v>
      </c>
      <c r="K138" s="736">
        <f>J138*D138</f>
        <v>0</v>
      </c>
      <c r="L138" s="737">
        <v>0.44</v>
      </c>
      <c r="M138" s="738">
        <f t="shared" si="33"/>
        <v>0</v>
      </c>
      <c r="N138" s="736">
        <f>M138*VLOOKUP($B$9,'Base Costs'!$A$32:$B$37,2,FALSE)</f>
        <v>0</v>
      </c>
      <c r="O138" s="739">
        <f>M138-K138</f>
        <v>0</v>
      </c>
      <c r="S138" s="693"/>
      <c r="Y138" s="672"/>
    </row>
    <row r="139" spans="1:26" ht="15" hidden="1" customHeight="1" outlineLevel="1" x14ac:dyDescent="0.15">
      <c r="A139" s="665">
        <v>242</v>
      </c>
      <c r="B139" s="730" t="s">
        <v>44</v>
      </c>
      <c r="C139" s="752"/>
      <c r="D139" s="741" t="s">
        <v>335</v>
      </c>
      <c r="E139" s="749" t="s">
        <v>718</v>
      </c>
      <c r="F139" s="748"/>
      <c r="G139" s="749"/>
      <c r="H139" s="750"/>
      <c r="I139" s="755"/>
      <c r="J139" s="735">
        <f>IF(C139=0,0,'Base Costs'!$B$26)</f>
        <v>0</v>
      </c>
      <c r="K139" s="736">
        <f>J139*C139</f>
        <v>0</v>
      </c>
      <c r="L139" s="737">
        <v>0.44</v>
      </c>
      <c r="M139" s="738">
        <f t="shared" si="33"/>
        <v>0</v>
      </c>
      <c r="N139" s="736">
        <f>M139*VLOOKUP($B$9,'Base Costs'!$A$32:$B$37,2,FALSE)</f>
        <v>0</v>
      </c>
      <c r="O139" s="739">
        <f t="shared" ref="O139:O146" si="36">M139-K139</f>
        <v>0</v>
      </c>
      <c r="S139" s="693"/>
      <c r="Y139" s="672"/>
    </row>
    <row r="140" spans="1:26" ht="15" hidden="1" customHeight="1" outlineLevel="1" x14ac:dyDescent="0.15">
      <c r="A140" s="665">
        <v>220</v>
      </c>
      <c r="B140" s="730" t="s">
        <v>43</v>
      </c>
      <c r="C140" s="752"/>
      <c r="D140" s="741" t="s">
        <v>336</v>
      </c>
      <c r="E140" s="748"/>
      <c r="F140" s="748"/>
      <c r="G140" s="757" t="str">
        <f>IF(ISNUMBER(SEARCH("KSA",$D141)),"MAX. EXTRACT (m³/s)", "")</f>
        <v/>
      </c>
      <c r="H140" s="1102" t="str">
        <f>IF(ISNUMBER(SEARCH("MUAP",$D133)),"MAX.  SUPPLY (m³/s)",IF(ISNUMBER(SEARCH("SPECIAL",$D133)),"MAX.  SUPPLY (m³/s)",(IF(ISNUMBER(SEARCH("F",$D133)),"MAX.  SUPPLY (m³/s)",""))))</f>
        <v/>
      </c>
      <c r="I140" s="1102"/>
      <c r="J140" s="735">
        <f>IF(C140=0,0,'Base Costs'!$B$29)</f>
        <v>0</v>
      </c>
      <c r="K140" s="736">
        <f>J140*C140</f>
        <v>0</v>
      </c>
      <c r="L140" s="737">
        <v>0.44</v>
      </c>
      <c r="M140" s="738">
        <f t="shared" si="33"/>
        <v>0</v>
      </c>
      <c r="N140" s="736">
        <f>M140*VLOOKUP($B$9,'Base Costs'!$A$32:$B$37,2,FALSE)</f>
        <v>0</v>
      </c>
      <c r="O140" s="739">
        <f t="shared" si="36"/>
        <v>0</v>
      </c>
      <c r="S140" s="693"/>
      <c r="Y140" s="672"/>
    </row>
    <row r="141" spans="1:26" ht="15" hidden="1" customHeight="1" outlineLevel="1" x14ac:dyDescent="0.15">
      <c r="A141" s="665">
        <v>103</v>
      </c>
      <c r="B141" s="730" t="s">
        <v>3</v>
      </c>
      <c r="C141" s="740">
        <f>IF(ISNUMBER(SEARCH("CMW",D133)),1,IF(F131=0,0,(ROUNDDOWN(((((F133-(100+(50*H131))))/H133)/500),0)*H131)))</f>
        <v>0</v>
      </c>
      <c r="D141" s="741" t="str">
        <f>VLOOKUP(D133,'Base Costs'!$A$39:$B$58,2,FALSE)</f>
        <v>FILTER TYPE</v>
      </c>
      <c r="E141" s="758" t="str">
        <f>IF(C141=0,0,IF(D141="KSA",ROUND(I133/C141,3),""))&amp; "  m³/s per filter"</f>
        <v>0  m³/s per filter</v>
      </c>
      <c r="F141" s="758" t="str">
        <f>IF(C141=0," Pa",ROUND((((I133*3600)/(C141*I130))^2),1)+20&amp; " Pa")</f>
        <v xml:space="preserve"> Pa</v>
      </c>
      <c r="G141" s="759" t="str">
        <f>IF(ISNUMBER(SEARCH("KSA",$D141)),$C141*0.25, "")</f>
        <v/>
      </c>
      <c r="H141" s="1103" t="str">
        <f>IF(ISNUMBER(SEARCH("MUAP",$D133)),0.225*($F133/1000),IF(ISNUMBER(SEARCH("SPECIAL",$D133)),0.225*($F133/1000),(IF(ISNUMBER(SEARCH("F",$D133)),0.225*($F133/1000),""))))</f>
        <v/>
      </c>
      <c r="I141" s="1103"/>
      <c r="J141" s="735">
        <f>IF(ISNA(D141),0,(VLOOKUP(D141,'Base Costs'!$Q$4:$R$11,2,FALSE)))</f>
        <v>0</v>
      </c>
      <c r="K141" s="736">
        <f>IF(ISNA(D141),0,IF(D141="MX",J141*1,J141*C141))</f>
        <v>0</v>
      </c>
      <c r="L141" s="737">
        <v>0.44</v>
      </c>
      <c r="M141" s="738">
        <f t="shared" si="33"/>
        <v>0</v>
      </c>
      <c r="N141" s="736">
        <f>M141*VLOOKUP($B$9,'Base Costs'!$A$32:$B$37,2,FALSE)</f>
        <v>0</v>
      </c>
      <c r="O141" s="739">
        <f t="shared" si="36"/>
        <v>0</v>
      </c>
      <c r="S141" s="693"/>
      <c r="Y141" s="672"/>
    </row>
    <row r="142" spans="1:26" ht="15" hidden="1" customHeight="1" outlineLevel="1" x14ac:dyDescent="0.15">
      <c r="B142" s="269" t="s">
        <v>1351</v>
      </c>
      <c r="C142" s="740">
        <v>0</v>
      </c>
      <c r="D142" s="856" t="str">
        <f>VLOOKUP(D133,'Base Costs'!$A$39:$C$58,3,FALSE)</f>
        <v>PSU</v>
      </c>
      <c r="E142" s="758" t="str">
        <f>IF(C142=0,0,IF(D142="PSU",ROUND(I133/C142,3),""))&amp; " m³/s per filter"</f>
        <v>0 m³/s per filter</v>
      </c>
      <c r="F142" s="758" t="str">
        <f>IF(C142=0," Pa",ROUND((((I133*3600)/(C142*I130))^2),1)+20&amp; " Pa")</f>
        <v xml:space="preserve"> Pa</v>
      </c>
      <c r="G142" s="759" t="str">
        <f>IF(ISNUMBER(SEARCH("KSA",$D142)),$C142*0.25, "")</f>
        <v/>
      </c>
      <c r="H142" s="1103" t="str">
        <f>IF(ISNUMBER(SEARCH("MUAP",$D133)),0.225*($F133/1000),IF(ISNUMBER(SEARCH("SPECIAL",$D133)),0.225*($F133/1000),(IF(ISNUMBER(SEARCH("F",$D133)),0.225*($F133/1000),""))))</f>
        <v/>
      </c>
      <c r="I142" s="1103"/>
      <c r="J142" s="735"/>
      <c r="K142" s="736">
        <f>IF(ISNA(D142),0,IF(D142="MX",J142*1,J142*C142))</f>
        <v>0</v>
      </c>
      <c r="L142" s="737">
        <v>0.44</v>
      </c>
      <c r="M142" s="738">
        <f t="shared" si="33"/>
        <v>0</v>
      </c>
      <c r="N142" s="736">
        <f>M142*VLOOKUP($B$9,'Base Costs'!$A$32:$B$37,2,FALSE)</f>
        <v>0</v>
      </c>
      <c r="O142" s="739">
        <f t="shared" si="36"/>
        <v>0</v>
      </c>
      <c r="S142" s="693"/>
      <c r="Y142" s="672"/>
    </row>
    <row r="143" spans="1:26" ht="15" hidden="1" customHeight="1" outlineLevel="1" x14ac:dyDescent="0.15">
      <c r="A143" s="665">
        <v>107</v>
      </c>
      <c r="B143" s="760" t="str">
        <f>IF(ISNUMBER(SEARCH("UV",D133)),"UV-C COMPONENTS",IF(ISNUMBER(SEARCH("CMW",D133)),"WATERWASH COMPONENTS",""))</f>
        <v/>
      </c>
      <c r="C143" s="761" t="str">
        <f>IF(H131=0,"UVR",IF(I133=0,"UVR",IF(I143&gt;0,("UVR")&amp;(INDEX('Base Costs'!$AH$5:$AI$10,(MATCH((I133/H131),'Base Costs'!$AI$5:$AI$10,-1)),1))&amp;("-")&amp;(H131),"UVR")))</f>
        <v>UVR</v>
      </c>
      <c r="D143" s="769" t="str">
        <f>VLOOKUP(C143,'Base Costs'!$Z$4:$AF$77,7,FALSE)&amp;" m³/s"</f>
        <v xml:space="preserve"> m³/s</v>
      </c>
      <c r="E143" s="763" t="str">
        <f>IF(ISNUMBER(SEARCH("L",C143)),"LONG RACK IN SECTION","SHORTRACK")</f>
        <v>SHORTRACK</v>
      </c>
      <c r="F143" s="764" t="str">
        <f>IF(ISNUMBER(SEARCH("L",C143)),ROUND(F133/H133,1)&amp;" mm","")</f>
        <v/>
      </c>
      <c r="G143" s="754"/>
      <c r="H143" s="754"/>
      <c r="I143" s="751">
        <f>IF(ISNUMBER(SEARCH("UV",D133)),1, 0)</f>
        <v>0</v>
      </c>
      <c r="J143" s="735">
        <f>IF(ISNA(C143),0,VLOOKUP(C143,'Base Costs'!$Z$4:$AF$77,2,FALSE))</f>
        <v>0</v>
      </c>
      <c r="K143" s="736">
        <f t="shared" ref="K143" si="37">J143*1</f>
        <v>0</v>
      </c>
      <c r="L143" s="737">
        <v>0.44</v>
      </c>
      <c r="M143" s="738">
        <f t="shared" si="33"/>
        <v>0</v>
      </c>
      <c r="N143" s="736">
        <f>M143*VLOOKUP($B$9,'Base Costs'!$A$32:$B$37,2,FALSE)</f>
        <v>0</v>
      </c>
      <c r="O143" s="739">
        <f t="shared" si="36"/>
        <v>0</v>
      </c>
      <c r="S143" s="693"/>
      <c r="Y143" s="672"/>
    </row>
    <row r="144" spans="1:26" ht="15" hidden="1" customHeight="1" outlineLevel="1" x14ac:dyDescent="0.15">
      <c r="B144" s="730" t="str">
        <f>IF(ISNUMBER(SEARCH("UV",D133)),"UV-C 2ND FILTER",IF(ISNUMBER(SEARCH("CMW",D133)),"CONTROL PANEL",""))</f>
        <v/>
      </c>
      <c r="C144" s="758" t="s">
        <v>588</v>
      </c>
      <c r="D144" s="760" t="str">
        <f>IF(ISNUMBER(SEARCH("CP1S",$C144)),"Up to 12m of canopy","")</f>
        <v/>
      </c>
      <c r="E144" s="760" t="str">
        <f>IF(ISNUMBER(SEARCH("CMW",$D133)),"CWS REQUIREMENT @ 2Bar","")</f>
        <v/>
      </c>
      <c r="F144" s="765" t="str">
        <f>IF(ISNUMBER(SEARCH("CMW",$D133)),$F133/1000*0.02&amp;" L/S","")</f>
        <v/>
      </c>
      <c r="G144" s="754"/>
      <c r="H144" s="750"/>
      <c r="I144" s="751">
        <f>C141</f>
        <v>0</v>
      </c>
      <c r="J144" s="735">
        <f>IF(ISNUMBER(SEARCH("CMW",D133)),VLOOKUP(C144,CCBASE!$A$81:$B$85,2,FALSE),(IF(I143&gt;0,'Base Costs'!$R$7,0)))</f>
        <v>0</v>
      </c>
      <c r="K144" s="736">
        <f>J144*C141</f>
        <v>0</v>
      </c>
      <c r="L144" s="737">
        <v>0.44</v>
      </c>
      <c r="M144" s="738">
        <f t="shared" si="33"/>
        <v>0</v>
      </c>
      <c r="N144" s="736">
        <f>M144*VLOOKUP($B$9,'Base Costs'!$A$32:$B$37,2,FALSE)</f>
        <v>0</v>
      </c>
      <c r="O144" s="739">
        <f t="shared" si="36"/>
        <v>0</v>
      </c>
      <c r="S144" s="693"/>
      <c r="Y144" s="672"/>
    </row>
    <row r="145" spans="1:26" ht="15" hidden="1" customHeight="1" outlineLevel="1" x14ac:dyDescent="0.15">
      <c r="A145" s="665">
        <v>285</v>
      </c>
      <c r="B145" s="730" t="str">
        <f>IF(ISNUMBER(SEARCH("UV",D133)),"UV-C WORKSHOP WIRING",IF(ISNUMBER(SEARCH("CMW",D133)),"W/W PODS",""))</f>
        <v/>
      </c>
      <c r="C145" s="758" t="s">
        <v>714</v>
      </c>
      <c r="D145" s="758">
        <v>0</v>
      </c>
      <c r="E145" s="760" t="str">
        <f>IF(ISNUMBER(SEARCH("CMW",$D133)),"HWS REQUIREMENT @ 60°C ","")</f>
        <v/>
      </c>
      <c r="F145" s="766" t="str">
        <f>IF(ISNUMBER(SEARCH("CMW",$D133)),$F133/1000*0.103&amp;" L/S","")</f>
        <v/>
      </c>
      <c r="G145" s="754"/>
      <c r="H145" s="750"/>
      <c r="I145" s="751">
        <f>IF(I143&gt;0,H131,0)</f>
        <v>0</v>
      </c>
      <c r="J145" s="735">
        <f>IF(ISNUMBER(SEARCH("CMW",D133)),VLOOKUP(C145,'Base Costs'!$Q$35:$R$45,2,FALSE),IF(I145=0,0,36*1.03))</f>
        <v>0</v>
      </c>
      <c r="K145" s="736">
        <f>IF(ISNUMBER(SEARCH("CMW",D133)),J145*D145,J145*H131)</f>
        <v>0</v>
      </c>
      <c r="L145" s="737">
        <v>0.44</v>
      </c>
      <c r="M145" s="738">
        <f t="shared" si="33"/>
        <v>0</v>
      </c>
      <c r="N145" s="736">
        <f>M145*VLOOKUP($B$9,'Base Costs'!$A$32:$B$37,2,FALSE)</f>
        <v>0</v>
      </c>
      <c r="O145" s="739">
        <f t="shared" si="36"/>
        <v>0</v>
      </c>
      <c r="S145" s="693"/>
      <c r="Y145" s="672"/>
    </row>
    <row r="146" spans="1:26" ht="15" hidden="1" customHeight="1" outlineLevel="1" x14ac:dyDescent="0.15">
      <c r="A146" s="665">
        <v>286</v>
      </c>
      <c r="B146" s="730" t="str">
        <f>IF(ISNUMBER(SEARCH("CMW",$D133)),"CWS/HWS PIPEWORK UP TO 5M",IF(ISNUMBER(SEARCH("UV",$D133)),"MU5 INTERFACE", ""))</f>
        <v/>
      </c>
      <c r="C146" s="758">
        <v>1</v>
      </c>
      <c r="D146" s="767"/>
      <c r="E146" s="760" t="str">
        <f>IF(ISNUMBER(SEARCH("CMW",$D133)),"HW STORAGE 3m wash","")</f>
        <v/>
      </c>
      <c r="F146" s="765" t="str">
        <f>IF(ISNUMBER(SEARCH("CMW",$D133)),($F133/1000)*0.103*180&amp;" L","")</f>
        <v/>
      </c>
      <c r="G146" s="749"/>
      <c r="H146" s="750"/>
      <c r="I146" s="751">
        <f>IF(I143=0,0,1)</f>
        <v>0</v>
      </c>
      <c r="J146" s="735">
        <f>IF(B146="CWS/HWS PIPEWORK UP TO 5M",CCBASE!$B$65,IF(I146=0,0,100*1.44))</f>
        <v>0</v>
      </c>
      <c r="K146" s="736">
        <f>J146*C146</f>
        <v>0</v>
      </c>
      <c r="L146" s="737">
        <v>0.44</v>
      </c>
      <c r="M146" s="738">
        <f t="shared" si="33"/>
        <v>0</v>
      </c>
      <c r="N146" s="736">
        <f>M146*VLOOKUP($B$9,'Base Costs'!$A$32:$B$37,2,FALSE)</f>
        <v>0</v>
      </c>
      <c r="O146" s="739">
        <f t="shared" si="36"/>
        <v>0</v>
      </c>
      <c r="S146" s="693"/>
      <c r="Y146" s="672"/>
    </row>
    <row r="147" spans="1:26" ht="15" customHeight="1" collapsed="1" x14ac:dyDescent="0.15">
      <c r="B147" s="713"/>
      <c r="C147" s="770"/>
      <c r="E147" s="770"/>
      <c r="F147" s="770"/>
      <c r="G147" s="715" t="s">
        <v>347</v>
      </c>
      <c r="H147" s="714"/>
      <c r="I147" s="715">
        <f>IF(ISNUMBER(SEARCH("UV",HD55)),49.7,71.75)</f>
        <v>71.75</v>
      </c>
      <c r="J147" s="716"/>
      <c r="K147" s="771"/>
      <c r="L147" s="772"/>
      <c r="M147" s="771"/>
      <c r="N147" s="771"/>
      <c r="S147" s="693"/>
      <c r="Y147" s="672"/>
    </row>
    <row r="148" spans="1:26" s="673" customFormat="1" ht="15" customHeight="1" x14ac:dyDescent="0.15">
      <c r="A148" s="665"/>
      <c r="B148" s="241" t="s">
        <v>604</v>
      </c>
      <c r="C148" s="719">
        <f>IF(H148&lt;1,0,(((VLOOKUP(G148,CC!$D$2:$F$670,3,FALSE))*H148)+IF(ISNUMBER(SEARCH("CMW",D150)),VLOOKUP(C161,CCBASE!$A$81:$C$85,3,FALSE),0)+(VLOOKUP(C153,CCBASE!$A$53:$C$73,3,FALSE)*D153)+(VLOOKUP(C154,CCBASE!$A$53:$C$73,3,FALSE)*D154))&amp;" HRS")</f>
        <v>0</v>
      </c>
      <c r="D148" s="720" t="str">
        <f>D150</f>
        <v>CANOPY TYPE</v>
      </c>
      <c r="E148" s="701">
        <f>CEILING(IF(C150="WALL",E150, (E150/2)),250)</f>
        <v>0</v>
      </c>
      <c r="F148" s="701">
        <f>IF(H148&lt;1,0,CEILING((F150-100)/H150,250))</f>
        <v>0</v>
      </c>
      <c r="G148" s="720" t="str">
        <f>D148&amp;F148&amp;E148</f>
        <v>CANOPY TYPE00</v>
      </c>
      <c r="H148" s="719">
        <f>IF(E150=0,0,IF(F150=0,0,(E150/(IF(C150="WALL",E150,(E150/2)))*H150)))</f>
        <v>0</v>
      </c>
      <c r="I148" s="719" t="str">
        <f>I150&amp;" m³/s"</f>
        <v xml:space="preserve"> m³/s</v>
      </c>
      <c r="J148" s="721"/>
      <c r="K148" s="722">
        <f>SUBTOTAL(9,K150:K163)</f>
        <v>0</v>
      </c>
      <c r="L148" s="703" t="str">
        <f>IF(K148=0,"-",O148/M148)</f>
        <v>-</v>
      </c>
      <c r="M148" s="722">
        <f>SUBTOTAL(9,M150:M163)</f>
        <v>0</v>
      </c>
      <c r="N148" s="704">
        <f>SUBTOTAL(9,N150:N163)</f>
        <v>0</v>
      </c>
      <c r="O148" s="722">
        <f>SUBTOTAL(9,O150:O163)</f>
        <v>0</v>
      </c>
      <c r="P148" s="672"/>
      <c r="Q148" s="672"/>
      <c r="R148" s="672"/>
      <c r="S148" s="712"/>
      <c r="T148" s="672"/>
      <c r="X148" s="672"/>
      <c r="Y148" s="672"/>
      <c r="Z148" s="672"/>
    </row>
    <row r="149" spans="1:26" ht="15" hidden="1" customHeight="1" outlineLevel="1" x14ac:dyDescent="0.15">
      <c r="B149" s="723"/>
      <c r="C149" s="724" t="s">
        <v>198</v>
      </c>
      <c r="D149" s="725" t="s">
        <v>255</v>
      </c>
      <c r="E149" s="724" t="s">
        <v>128</v>
      </c>
      <c r="F149" s="724" t="s">
        <v>129</v>
      </c>
      <c r="G149" s="724" t="s">
        <v>172</v>
      </c>
      <c r="H149" s="724" t="s">
        <v>197</v>
      </c>
      <c r="I149" s="725" t="s">
        <v>256</v>
      </c>
      <c r="J149" s="726"/>
      <c r="K149" s="727"/>
      <c r="L149" s="727"/>
      <c r="M149" s="728"/>
      <c r="N149" s="729"/>
      <c r="O149" s="711"/>
      <c r="S149" s="693"/>
      <c r="Y149" s="672"/>
    </row>
    <row r="150" spans="1:26" ht="15" hidden="1" customHeight="1" outlineLevel="1" x14ac:dyDescent="0.2">
      <c r="A150" s="665">
        <v>210</v>
      </c>
      <c r="B150" s="730" t="s">
        <v>182</v>
      </c>
      <c r="C150" s="731" t="s">
        <v>183</v>
      </c>
      <c r="D150" s="732" t="s">
        <v>130</v>
      </c>
      <c r="E150" s="733"/>
      <c r="F150" s="733"/>
      <c r="G150" s="733"/>
      <c r="H150" s="734"/>
      <c r="I150" s="733"/>
      <c r="J150" s="735">
        <f>IF(ISNA(C148),0,IF(F148&gt;3000,0,(IF(H148&lt;1,0,((VLOOKUP(G148,CC!$D$2:$E$670,2,FALSE))*H148)+((VLOOKUP(G148,CC!$D$2:$AD$670,17,FALSE)*(H148/H150)))))))</f>
        <v>0</v>
      </c>
      <c r="K150" s="736">
        <f>J150*1</f>
        <v>0</v>
      </c>
      <c r="L150" s="737">
        <v>0.44</v>
      </c>
      <c r="M150" s="738">
        <f t="shared" ref="M150:M163" si="38">K150/(1-L150)*(1+$C$9)</f>
        <v>0</v>
      </c>
      <c r="N150" s="736">
        <f>M150*VLOOKUP($B$9,'Base Costs'!$A$32:$B$37,2,FALSE)</f>
        <v>0</v>
      </c>
      <c r="O150" s="739">
        <f t="shared" ref="O150:O154" si="39">M150-K150</f>
        <v>0</v>
      </c>
      <c r="S150" s="693"/>
      <c r="Y150" s="672"/>
    </row>
    <row r="151" spans="1:26" ht="15" hidden="1" customHeight="1" outlineLevel="1" x14ac:dyDescent="0.15">
      <c r="A151" s="665">
        <v>104</v>
      </c>
      <c r="B151" s="730" t="s">
        <v>4</v>
      </c>
      <c r="C151" s="732" t="s">
        <v>185</v>
      </c>
      <c r="D151" s="740"/>
      <c r="E151" s="741"/>
      <c r="F151" s="742"/>
      <c r="G151" s="743"/>
      <c r="H151" s="667"/>
      <c r="I151" s="667"/>
      <c r="J151" s="735">
        <f>IF(ISNA(C148),0,IF(D151=0,0,IF(C151="FLO",VLOOKUP(E151,'Base Costs'!$M$4:$N$14,2,FALSE),IF(C151="LED STRIP",VLOOKUP(E151,'Base Costs'!$M$4:$N$14,2,FALSE),(VLOOKUP(C151,'Base Costs'!$M$4:$N$14,2,FALSE))))))</f>
        <v>0</v>
      </c>
      <c r="K151" s="736">
        <f>J151*D151</f>
        <v>0</v>
      </c>
      <c r="L151" s="737">
        <v>0.31</v>
      </c>
      <c r="M151" s="738">
        <f t="shared" si="38"/>
        <v>0</v>
      </c>
      <c r="N151" s="736">
        <f>M151*VLOOKUP($B$9,'Base Costs'!$A$32:$B$37,2,FALSE)</f>
        <v>0</v>
      </c>
      <c r="O151" s="739">
        <f t="shared" si="39"/>
        <v>0</v>
      </c>
      <c r="P151" s="744"/>
      <c r="S151" s="693"/>
      <c r="Y151" s="672"/>
    </row>
    <row r="152" spans="1:26" ht="15" hidden="1" customHeight="1" outlineLevel="1" x14ac:dyDescent="0.15">
      <c r="A152" s="665">
        <v>234</v>
      </c>
      <c r="B152" s="269" t="s">
        <v>839</v>
      </c>
      <c r="C152" s="958" t="s">
        <v>839</v>
      </c>
      <c r="D152" s="746"/>
      <c r="E152" s="747"/>
      <c r="F152" s="748"/>
      <c r="G152" s="749"/>
      <c r="H152" s="750"/>
      <c r="I152" s="751">
        <v>1</v>
      </c>
      <c r="J152" s="735">
        <f>VLOOKUP(C152,'Base Costs'!$U$4:$V$41,2,FALSE)</f>
        <v>0</v>
      </c>
      <c r="K152" s="736">
        <f t="shared" ref="K152" si="40">J152*1</f>
        <v>0</v>
      </c>
      <c r="L152" s="737">
        <v>0.25</v>
      </c>
      <c r="M152" s="738">
        <f t="shared" si="38"/>
        <v>0</v>
      </c>
      <c r="N152" s="736">
        <f>M152*VLOOKUP($B$9,'Base Costs'!$A$32:$B$37,2,FALSE)</f>
        <v>0</v>
      </c>
      <c r="O152" s="739">
        <f t="shared" si="39"/>
        <v>0</v>
      </c>
      <c r="S152" s="693"/>
      <c r="Y152" s="672"/>
    </row>
    <row r="153" spans="1:26" ht="15" hidden="1" customHeight="1" outlineLevel="1" x14ac:dyDescent="0.15">
      <c r="B153" s="269" t="s">
        <v>1396</v>
      </c>
      <c r="C153" s="958" t="s">
        <v>1396</v>
      </c>
      <c r="D153" s="972">
        <v>1</v>
      </c>
      <c r="E153" s="753"/>
      <c r="F153" s="754"/>
      <c r="G153" s="749"/>
      <c r="H153" s="750"/>
      <c r="I153" s="755"/>
      <c r="J153" s="735">
        <f>VLOOKUP(C153,'Base Costs'!$U$44:$V$56,2,FALSE)</f>
        <v>0</v>
      </c>
      <c r="K153" s="736">
        <f>J153*D153</f>
        <v>0</v>
      </c>
      <c r="L153" s="737">
        <v>0.35</v>
      </c>
      <c r="M153" s="738">
        <f t="shared" si="38"/>
        <v>0</v>
      </c>
      <c r="N153" s="736">
        <f>M153*VLOOKUP($B$9,'Base Costs'!$A$32:$B$37,2,FALSE)</f>
        <v>0</v>
      </c>
      <c r="O153" s="739">
        <f t="shared" si="39"/>
        <v>0</v>
      </c>
      <c r="S153" s="693"/>
      <c r="Y153" s="672"/>
    </row>
    <row r="154" spans="1:26" ht="15" hidden="1" customHeight="1" outlineLevel="1" x14ac:dyDescent="0.15">
      <c r="B154" s="583" t="s">
        <v>339</v>
      </c>
      <c r="C154" s="33" t="s">
        <v>342</v>
      </c>
      <c r="D154" s="734"/>
      <c r="E154" s="753" t="str">
        <f>IF(C154="","",VLOOKUP(C154,CCBASE!$A$53:$D$73,4,FALSE))</f>
        <v/>
      </c>
      <c r="F154" s="754"/>
      <c r="G154" s="749"/>
      <c r="H154" s="750"/>
      <c r="I154" s="755"/>
      <c r="J154" s="735">
        <f>IF(C154="",0,VLOOKUP(C154,CCBASE!$A$53:$C$73,2,FALSE))</f>
        <v>0</v>
      </c>
      <c r="K154" s="736">
        <f>J154*D154</f>
        <v>0</v>
      </c>
      <c r="L154" s="737">
        <v>0.44</v>
      </c>
      <c r="M154" s="738">
        <f t="shared" si="38"/>
        <v>0</v>
      </c>
      <c r="N154" s="736">
        <f>M154*VLOOKUP($B$9,'Base Costs'!$A$32:$B$37,2,FALSE)</f>
        <v>0</v>
      </c>
      <c r="O154" s="739">
        <f t="shared" si="39"/>
        <v>0</v>
      </c>
      <c r="S154" s="693"/>
      <c r="Y154" s="672"/>
    </row>
    <row r="155" spans="1:26" ht="15" hidden="1" customHeight="1" outlineLevel="1" x14ac:dyDescent="0.15">
      <c r="A155" s="665">
        <v>289</v>
      </c>
      <c r="B155" s="583" t="s">
        <v>9</v>
      </c>
      <c r="C155" s="33" t="s">
        <v>565</v>
      </c>
      <c r="D155" s="756">
        <f>ROUNDUP($F150/1000,0)</f>
        <v>0</v>
      </c>
      <c r="E155" s="1107" t="s">
        <v>1059</v>
      </c>
      <c r="F155" s="1105"/>
      <c r="G155" s="754"/>
      <c r="H155" s="750"/>
      <c r="I155" s="755"/>
      <c r="J155" s="735">
        <f>IF(D155=0,0,VLOOKUP(C155,'Base Costs'!$A$19:$B$22,2,FALSE))</f>
        <v>0</v>
      </c>
      <c r="K155" s="736">
        <f>J155*D155</f>
        <v>0</v>
      </c>
      <c r="L155" s="737">
        <v>0.44</v>
      </c>
      <c r="M155" s="738">
        <f t="shared" si="38"/>
        <v>0</v>
      </c>
      <c r="N155" s="736">
        <f>M155*VLOOKUP($B$9,'Base Costs'!$A$32:$B$37,2,FALSE)</f>
        <v>0</v>
      </c>
      <c r="O155" s="739">
        <f>M155-K155</f>
        <v>0</v>
      </c>
      <c r="S155" s="693"/>
      <c r="Y155" s="672"/>
    </row>
    <row r="156" spans="1:26" ht="15" hidden="1" customHeight="1" outlineLevel="1" x14ac:dyDescent="0.15">
      <c r="A156" s="665">
        <v>242</v>
      </c>
      <c r="B156" s="583" t="s">
        <v>44</v>
      </c>
      <c r="C156" s="752"/>
      <c r="D156" s="741" t="s">
        <v>335</v>
      </c>
      <c r="E156" s="749"/>
      <c r="F156" s="748"/>
      <c r="G156" s="749"/>
      <c r="H156" s="750"/>
      <c r="I156" s="755"/>
      <c r="J156" s="735">
        <f>IF(C156=0,0,'Base Costs'!$B$26)</f>
        <v>0</v>
      </c>
      <c r="K156" s="736">
        <f>J156*C156</f>
        <v>0</v>
      </c>
      <c r="L156" s="737">
        <v>0.44</v>
      </c>
      <c r="M156" s="738">
        <f t="shared" si="38"/>
        <v>0</v>
      </c>
      <c r="N156" s="736">
        <f>M156*VLOOKUP($B$9,'Base Costs'!$A$32:$B$37,2,FALSE)</f>
        <v>0</v>
      </c>
      <c r="O156" s="739">
        <f t="shared" ref="O156:O163" si="41">M156-K156</f>
        <v>0</v>
      </c>
      <c r="S156" s="693"/>
      <c r="Y156" s="672"/>
    </row>
    <row r="157" spans="1:26" ht="15" hidden="1" customHeight="1" outlineLevel="1" x14ac:dyDescent="0.15">
      <c r="A157" s="665">
        <v>220</v>
      </c>
      <c r="B157" s="730" t="s">
        <v>43</v>
      </c>
      <c r="C157" s="752"/>
      <c r="D157" s="741" t="s">
        <v>336</v>
      </c>
      <c r="E157" s="748"/>
      <c r="F157" s="748"/>
      <c r="G157" s="757" t="str">
        <f>IF(ISNUMBER(SEARCH("KSA",$D158)),"MAX. EXTRACT (m³/s)", "")</f>
        <v/>
      </c>
      <c r="H157" s="1102" t="str">
        <f>IF(ISNUMBER(SEARCH("MUAP",$D150)),"MAX.  SUPPLY (m³/s)",IF(ISNUMBER(SEARCH("SPECIAL",$D150)),"MAX.  SUPPLY (m³/s)",(IF(ISNUMBER(SEARCH("F",$D150)),"MAX.  SUPPLY (m³/s)",""))))</f>
        <v/>
      </c>
      <c r="I157" s="1102"/>
      <c r="J157" s="735">
        <f>IF(C157=0,0,'Base Costs'!$B$29)</f>
        <v>0</v>
      </c>
      <c r="K157" s="736">
        <f>J157*C157</f>
        <v>0</v>
      </c>
      <c r="L157" s="737">
        <v>0.44</v>
      </c>
      <c r="M157" s="738">
        <f t="shared" si="38"/>
        <v>0</v>
      </c>
      <c r="N157" s="736">
        <f>M157*VLOOKUP($B$9,'Base Costs'!$A$32:$B$37,2,FALSE)</f>
        <v>0</v>
      </c>
      <c r="O157" s="739">
        <f t="shared" si="41"/>
        <v>0</v>
      </c>
      <c r="S157" s="693"/>
      <c r="Y157" s="672"/>
    </row>
    <row r="158" spans="1:26" ht="15" hidden="1" customHeight="1" outlineLevel="1" x14ac:dyDescent="0.15">
      <c r="A158" s="665">
        <v>103</v>
      </c>
      <c r="B158" s="730" t="s">
        <v>3</v>
      </c>
      <c r="C158" s="740">
        <f>IF(ISNUMBER(SEARCH("CMW",D150)),1,IF(F148=0,0,(ROUNDDOWN(((((F150-(100+(50*H148))))/H150)/500),0)*H148)))</f>
        <v>0</v>
      </c>
      <c r="D158" s="741" t="str">
        <f>VLOOKUP(D150,'Base Costs'!$A$39:$B$58,2,FALSE)</f>
        <v>FILTER TYPE</v>
      </c>
      <c r="E158" s="758" t="str">
        <f>IF(C158=0,0,IF(D158="KSA",ROUND(I150/C158,3),""))&amp; "  m³/s per filter"</f>
        <v>0  m³/s per filter</v>
      </c>
      <c r="F158" s="758" t="str">
        <f>IF(C158=0," Pa",ROUND((((I150*3600)/(C158*I147))^2),1)+20&amp; " Pa")</f>
        <v xml:space="preserve"> Pa</v>
      </c>
      <c r="G158" s="759" t="str">
        <f>IF(ISNUMBER(SEARCH("KSA",$D158)),$C158*0.25, "")</f>
        <v/>
      </c>
      <c r="H158" s="1103" t="str">
        <f>IF(ISNUMBER(SEARCH("MUAP",$D150)),0.225*($F150/1000),IF(ISNUMBER(SEARCH("SPECIAL",$D150)),0.225*($F150/1000),(IF(ISNUMBER(SEARCH("F",$D150)),0.225*($F150/1000),""))))</f>
        <v/>
      </c>
      <c r="I158" s="1103"/>
      <c r="J158" s="735">
        <f>IF(ISNA(D158),0,(VLOOKUP(D158,'Base Costs'!$Q$4:$R$11,2,FALSE)))</f>
        <v>0</v>
      </c>
      <c r="K158" s="736">
        <f>IF(ISNA(D158),0,IF(D158="MX",J158*1,J158*C158))</f>
        <v>0</v>
      </c>
      <c r="L158" s="737">
        <v>0.44</v>
      </c>
      <c r="M158" s="738">
        <f t="shared" si="38"/>
        <v>0</v>
      </c>
      <c r="N158" s="736">
        <f>M158*VLOOKUP($B$9,'Base Costs'!$A$32:$B$37,2,FALSE)</f>
        <v>0</v>
      </c>
      <c r="O158" s="739">
        <f t="shared" si="41"/>
        <v>0</v>
      </c>
      <c r="S158" s="693"/>
      <c r="Y158" s="672"/>
    </row>
    <row r="159" spans="1:26" ht="15" hidden="1" customHeight="1" outlineLevel="1" x14ac:dyDescent="0.15">
      <c r="B159" s="269" t="s">
        <v>1351</v>
      </c>
      <c r="C159" s="740">
        <v>0</v>
      </c>
      <c r="D159" s="856" t="str">
        <f>VLOOKUP(D150,'Base Costs'!$A$39:$C$58,3,FALSE)</f>
        <v>PSU</v>
      </c>
      <c r="E159" s="758" t="str">
        <f>IF(C159=0,0,IF(D159="PSU",ROUND(I150/C159,3),""))&amp; " m³/s per filter"</f>
        <v>0 m³/s per filter</v>
      </c>
      <c r="F159" s="758" t="str">
        <f>IF(C159=0," Pa",ROUND((((I150*3600)/(C159*I147))^2),1)+20&amp; " Pa")</f>
        <v xml:space="preserve"> Pa</v>
      </c>
      <c r="G159" s="759" t="str">
        <f>IF(ISNUMBER(SEARCH("KSA",$D159)),$C159*0.25, "")</f>
        <v/>
      </c>
      <c r="H159" s="1103" t="str">
        <f>IF(ISNUMBER(SEARCH("MUAP",$D150)),0.225*($F150/1000),IF(ISNUMBER(SEARCH("SPECIAL",$D150)),0.225*($F150/1000),(IF(ISNUMBER(SEARCH("F",$D150)),0.225*($F150/1000),""))))</f>
        <v/>
      </c>
      <c r="I159" s="1103"/>
      <c r="J159" s="735"/>
      <c r="K159" s="736">
        <f>IF(ISNA(D159),0,IF(D159="MX",J159*1,J159*C159))</f>
        <v>0</v>
      </c>
      <c r="L159" s="737">
        <v>0.44</v>
      </c>
      <c r="M159" s="738">
        <f t="shared" si="38"/>
        <v>0</v>
      </c>
      <c r="N159" s="736">
        <f>M159*VLOOKUP($B$9,'Base Costs'!$A$32:$B$37,2,FALSE)</f>
        <v>0</v>
      </c>
      <c r="O159" s="739">
        <f t="shared" si="41"/>
        <v>0</v>
      </c>
      <c r="S159" s="693"/>
      <c r="Y159" s="672"/>
    </row>
    <row r="160" spans="1:26" ht="15" hidden="1" customHeight="1" outlineLevel="1" x14ac:dyDescent="0.15">
      <c r="A160" s="665">
        <v>107</v>
      </c>
      <c r="B160" s="760" t="str">
        <f>IF(ISNUMBER(SEARCH("UV",D150)),"UV-C COMPONENTS",IF(ISNUMBER(SEARCH("CMW",D150)),"WATERWASH COMPONENTS",""))</f>
        <v/>
      </c>
      <c r="C160" s="761" t="str">
        <f>IF(H148=0,"UVR",IF(I150=0,"UVR",IF(I160&gt;0,("UVR")&amp;(INDEX('Base Costs'!$AH$5:$AI$10,(MATCH((I150/H148),'Base Costs'!$AI$5:$AI$10,-1)),1))&amp;("-")&amp;(H148),"UVR")))</f>
        <v>UVR</v>
      </c>
      <c r="D160" s="769" t="str">
        <f>VLOOKUP(C160,'Base Costs'!$Z$4:$AF$77,7,FALSE)&amp;" m³/s"</f>
        <v xml:space="preserve"> m³/s</v>
      </c>
      <c r="E160" s="763" t="str">
        <f>IF(ISNUMBER(SEARCH("L",C160)),"LONG RACK IN SECTION","SHORTRACK")</f>
        <v>SHORTRACK</v>
      </c>
      <c r="F160" s="764" t="str">
        <f>IF(ISNUMBER(SEARCH("L",C160)),ROUND(F150/H150,1)&amp;" mm","")</f>
        <v/>
      </c>
      <c r="G160" s="754"/>
      <c r="H160" s="754"/>
      <c r="I160" s="751">
        <f>IF(ISNUMBER(SEARCH("UV",D150)),1, 0)</f>
        <v>0</v>
      </c>
      <c r="J160" s="735">
        <f>IF(ISNA(C160),0,VLOOKUP(C160,'Base Costs'!$Z$4:$AF$77,2,FALSE))</f>
        <v>0</v>
      </c>
      <c r="K160" s="736">
        <f t="shared" ref="K160" si="42">J160*1</f>
        <v>0</v>
      </c>
      <c r="L160" s="737">
        <v>0.44</v>
      </c>
      <c r="M160" s="738">
        <f t="shared" si="38"/>
        <v>0</v>
      </c>
      <c r="N160" s="736">
        <f>M160*VLOOKUP($B$9,'Base Costs'!$A$32:$B$37,2,FALSE)</f>
        <v>0</v>
      </c>
      <c r="O160" s="739">
        <f t="shared" si="41"/>
        <v>0</v>
      </c>
      <c r="S160" s="693"/>
      <c r="Y160" s="672"/>
    </row>
    <row r="161" spans="1:26" ht="15" hidden="1" customHeight="1" outlineLevel="1" x14ac:dyDescent="0.15">
      <c r="B161" s="730" t="str">
        <f>IF(ISNUMBER(SEARCH("UV",D150)),"UV-C 2ND FILTER",IF(ISNUMBER(SEARCH("CMW",D150)),"CONTROL PANEL",""))</f>
        <v/>
      </c>
      <c r="C161" s="758" t="s">
        <v>588</v>
      </c>
      <c r="D161" s="760" t="str">
        <f>IF(ISNUMBER(SEARCH("CP1S",$C161)),"Up to 12m of canopy","")</f>
        <v/>
      </c>
      <c r="E161" s="760" t="str">
        <f>IF(ISNUMBER(SEARCH("CMW",$D150)),"CWS REQUIREMENT @ 2Bar","")</f>
        <v/>
      </c>
      <c r="F161" s="765" t="str">
        <f>IF(ISNUMBER(SEARCH("CMW",$D150)),$F150/1000*0.02&amp;" L/S","")</f>
        <v/>
      </c>
      <c r="G161" s="754"/>
      <c r="H161" s="750"/>
      <c r="I161" s="751">
        <f>C158</f>
        <v>0</v>
      </c>
      <c r="J161" s="735">
        <f>IF(ISNUMBER(SEARCH("CMW",D150)),VLOOKUP(C161,CCBASE!$A$81:$B$85,2,FALSE),(IF(I160&gt;0,'Base Costs'!$R$7,0)))</f>
        <v>0</v>
      </c>
      <c r="K161" s="736">
        <f>J161*C158</f>
        <v>0</v>
      </c>
      <c r="L161" s="737">
        <v>0.44</v>
      </c>
      <c r="M161" s="738">
        <f t="shared" si="38"/>
        <v>0</v>
      </c>
      <c r="N161" s="736">
        <f>M161*VLOOKUP($B$9,'Base Costs'!$A$32:$B$37,2,FALSE)</f>
        <v>0</v>
      </c>
      <c r="O161" s="739">
        <f t="shared" si="41"/>
        <v>0</v>
      </c>
      <c r="S161" s="693"/>
      <c r="Y161" s="672"/>
    </row>
    <row r="162" spans="1:26" ht="15" hidden="1" customHeight="1" outlineLevel="1" x14ac:dyDescent="0.15">
      <c r="A162" s="665">
        <v>285</v>
      </c>
      <c r="B162" s="730" t="str">
        <f>IF(ISNUMBER(SEARCH("UV",D150)),"UV-C WORKSHOP WIRING",IF(ISNUMBER(SEARCH("CMW",D150)),"W/W PODS",""))</f>
        <v/>
      </c>
      <c r="C162" s="758" t="s">
        <v>714</v>
      </c>
      <c r="D162" s="758">
        <v>0</v>
      </c>
      <c r="E162" s="760" t="str">
        <f>IF(ISNUMBER(SEARCH("CMW",$D150)),"HWS REQUIREMENT @ 60°C ","")</f>
        <v/>
      </c>
      <c r="F162" s="766" t="str">
        <f>IF(ISNUMBER(SEARCH("CMW",$D150)),$F150/1000*0.103&amp;" L/S","")</f>
        <v/>
      </c>
      <c r="G162" s="754"/>
      <c r="H162" s="750"/>
      <c r="I162" s="751">
        <f>IF(I160&gt;0,H148,0)</f>
        <v>0</v>
      </c>
      <c r="J162" s="735">
        <f>IF(ISNUMBER(SEARCH("CMW",D150)),VLOOKUP(C162,'Base Costs'!$Q$35:$R$45,2,FALSE),IF(I162=0,0,36*1.03))</f>
        <v>0</v>
      </c>
      <c r="K162" s="736">
        <f>IF(ISNUMBER(SEARCH("CMW",D150)),J162*D162,J162*H148)</f>
        <v>0</v>
      </c>
      <c r="L162" s="737">
        <v>0.44</v>
      </c>
      <c r="M162" s="738">
        <f t="shared" si="38"/>
        <v>0</v>
      </c>
      <c r="N162" s="736">
        <f>M162*VLOOKUP($B$9,'Base Costs'!$A$32:$B$37,2,FALSE)</f>
        <v>0</v>
      </c>
      <c r="O162" s="739">
        <f t="shared" si="41"/>
        <v>0</v>
      </c>
      <c r="S162" s="693"/>
      <c r="Y162" s="672"/>
    </row>
    <row r="163" spans="1:26" ht="15" hidden="1" customHeight="1" outlineLevel="1" x14ac:dyDescent="0.15">
      <c r="A163" s="665">
        <v>286</v>
      </c>
      <c r="B163" s="730" t="str">
        <f>IF(ISNUMBER(SEARCH("CMW",$D150)),"CWS/HWS PIPEWORK UP TO 5M",IF(ISNUMBER(SEARCH("UV",$D150)),"MU5 INTERFACE", ""))</f>
        <v/>
      </c>
      <c r="C163" s="758">
        <v>1</v>
      </c>
      <c r="D163" s="767"/>
      <c r="E163" s="760" t="str">
        <f>IF(ISNUMBER(SEARCH("CMW",$D150)),"HW STORAGE 3m wash","")</f>
        <v/>
      </c>
      <c r="F163" s="765" t="str">
        <f>IF(ISNUMBER(SEARCH("CMW",$D150)),($F150/1000)*0.103*180&amp;" L","")</f>
        <v/>
      </c>
      <c r="G163" s="749"/>
      <c r="H163" s="750"/>
      <c r="I163" s="751">
        <f>IF(I160=0,0,1)</f>
        <v>0</v>
      </c>
      <c r="J163" s="735">
        <f>IF(B163="CWS/HWS PIPEWORK UP TO 5M",CCBASE!$B$65,IF(I163=0,0,100*1.44))</f>
        <v>0</v>
      </c>
      <c r="K163" s="736">
        <f>J163*C163</f>
        <v>0</v>
      </c>
      <c r="L163" s="737">
        <v>0.44</v>
      </c>
      <c r="M163" s="738">
        <f t="shared" si="38"/>
        <v>0</v>
      </c>
      <c r="N163" s="736">
        <f>M163*VLOOKUP($B$9,'Base Costs'!$A$32:$B$37,2,FALSE)</f>
        <v>0</v>
      </c>
      <c r="O163" s="739">
        <f t="shared" si="41"/>
        <v>0</v>
      </c>
      <c r="S163" s="693"/>
      <c r="Y163" s="672"/>
    </row>
    <row r="164" spans="1:26" ht="15" customHeight="1" collapsed="1" x14ac:dyDescent="0.15">
      <c r="B164" s="713"/>
      <c r="C164" s="770"/>
      <c r="E164" s="770"/>
      <c r="F164" s="770"/>
      <c r="G164" s="715" t="s">
        <v>347</v>
      </c>
      <c r="H164" s="714"/>
      <c r="I164" s="715">
        <f>IF(ISNUMBER(SEARCH("UV",HD72)),49.7,71.75)</f>
        <v>71.75</v>
      </c>
      <c r="J164" s="716"/>
      <c r="K164" s="771"/>
      <c r="L164" s="772"/>
      <c r="M164" s="771"/>
      <c r="N164" s="771"/>
      <c r="S164" s="693"/>
      <c r="Y164" s="672"/>
    </row>
    <row r="165" spans="1:26" s="673" customFormat="1" ht="15" customHeight="1" x14ac:dyDescent="0.15">
      <c r="A165" s="665"/>
      <c r="B165" s="241" t="s">
        <v>604</v>
      </c>
      <c r="C165" s="719">
        <f>IF(H165&lt;1,0,(((VLOOKUP(G165,CC!$D$2:$F$670,3,FALSE))*H165)+IF(ISNUMBER(SEARCH("CMW",D167)),VLOOKUP(C178,CCBASE!$A$81:$C$85,3,FALSE),0)+(VLOOKUP(C170,CCBASE!$A$53:$C$73,3,FALSE)*D170)+(VLOOKUP(C171,CCBASE!$A$53:$C$73,3,FALSE)*D171))&amp;" HRS")</f>
        <v>0</v>
      </c>
      <c r="D165" s="720" t="str">
        <f>D167</f>
        <v>CANOPY TYPE</v>
      </c>
      <c r="E165" s="701">
        <f>CEILING(IF(C167="WALL",E167, (E167/2)),250)</f>
        <v>0</v>
      </c>
      <c r="F165" s="701">
        <f>IF(H165&lt;1,0,CEILING((F167-100)/H167,250))</f>
        <v>0</v>
      </c>
      <c r="G165" s="720" t="str">
        <f>D165&amp;F165&amp;E165</f>
        <v>CANOPY TYPE00</v>
      </c>
      <c r="H165" s="719">
        <f>IF(E167=0,0,IF(F167=0,0,(E167/(IF(C167="WALL",E167,(E167/2)))*H167)))</f>
        <v>0</v>
      </c>
      <c r="I165" s="719" t="str">
        <f>I167&amp;" m³/s"</f>
        <v xml:space="preserve"> m³/s</v>
      </c>
      <c r="J165" s="721"/>
      <c r="K165" s="722">
        <f>SUBTOTAL(9,K167:K180)</f>
        <v>0</v>
      </c>
      <c r="L165" s="703" t="str">
        <f>IF(K165=0,"-",O165/M165)</f>
        <v>-</v>
      </c>
      <c r="M165" s="722">
        <f>SUBTOTAL(9,M167:M180)</f>
        <v>0</v>
      </c>
      <c r="N165" s="704">
        <f>SUBTOTAL(9,N167:N180)</f>
        <v>0</v>
      </c>
      <c r="O165" s="722">
        <f>SUBTOTAL(9,O167:O180)</f>
        <v>0</v>
      </c>
      <c r="P165" s="672"/>
      <c r="Q165" s="672"/>
      <c r="R165" s="672"/>
      <c r="S165" s="712"/>
      <c r="T165" s="672"/>
      <c r="X165" s="672"/>
      <c r="Y165" s="672"/>
      <c r="Z165" s="672"/>
    </row>
    <row r="166" spans="1:26" ht="15" hidden="1" customHeight="1" outlineLevel="1" x14ac:dyDescent="0.15">
      <c r="B166" s="723"/>
      <c r="C166" s="724" t="s">
        <v>198</v>
      </c>
      <c r="D166" s="725" t="s">
        <v>255</v>
      </c>
      <c r="E166" s="724" t="s">
        <v>128</v>
      </c>
      <c r="F166" s="724" t="s">
        <v>129</v>
      </c>
      <c r="G166" s="724" t="s">
        <v>172</v>
      </c>
      <c r="H166" s="724" t="s">
        <v>197</v>
      </c>
      <c r="I166" s="725" t="s">
        <v>256</v>
      </c>
      <c r="J166" s="726"/>
      <c r="K166" s="727"/>
      <c r="L166" s="727"/>
      <c r="M166" s="728"/>
      <c r="N166" s="729"/>
      <c r="O166" s="711"/>
      <c r="S166" s="693"/>
      <c r="Y166" s="672"/>
    </row>
    <row r="167" spans="1:26" ht="15" hidden="1" customHeight="1" outlineLevel="1" x14ac:dyDescent="0.2">
      <c r="A167" s="665">
        <v>210</v>
      </c>
      <c r="B167" s="730" t="s">
        <v>182</v>
      </c>
      <c r="C167" s="731" t="s">
        <v>183</v>
      </c>
      <c r="D167" s="732" t="s">
        <v>130</v>
      </c>
      <c r="E167" s="733"/>
      <c r="F167" s="733"/>
      <c r="G167" s="733"/>
      <c r="H167" s="734"/>
      <c r="I167" s="733"/>
      <c r="J167" s="735">
        <f>IF(ISNA(C165),0,IF(F165&gt;3000,0,(IF(H165&lt;1,0,((VLOOKUP(G165,CC!$D$2:$E$670,2,FALSE))*H165)+((VLOOKUP(G165,CC!$D$2:$AD$670,17,FALSE)*(H165/H167)))))))</f>
        <v>0</v>
      </c>
      <c r="K167" s="736">
        <f>J167*1</f>
        <v>0</v>
      </c>
      <c r="L167" s="737">
        <v>0.44</v>
      </c>
      <c r="M167" s="738">
        <f t="shared" ref="M167:M180" si="43">K167/(1-L167)*(1+$C$9)</f>
        <v>0</v>
      </c>
      <c r="N167" s="736">
        <f>M167*VLOOKUP($B$9,'Base Costs'!$A$32:$B$37,2,FALSE)</f>
        <v>0</v>
      </c>
      <c r="O167" s="739">
        <f t="shared" ref="O167:O171" si="44">M167-K167</f>
        <v>0</v>
      </c>
      <c r="S167" s="693"/>
      <c r="Y167" s="672"/>
    </row>
    <row r="168" spans="1:26" ht="15" hidden="1" customHeight="1" outlineLevel="1" x14ac:dyDescent="0.15">
      <c r="A168" s="665">
        <v>104</v>
      </c>
      <c r="B168" s="730" t="s">
        <v>4</v>
      </c>
      <c r="C168" s="732" t="s">
        <v>185</v>
      </c>
      <c r="D168" s="740"/>
      <c r="E168" s="741"/>
      <c r="F168" s="742"/>
      <c r="G168" s="743"/>
      <c r="H168" s="667"/>
      <c r="I168" s="667"/>
      <c r="J168" s="735">
        <f>IF(ISNA(C165),0,IF(D168=0,0,IF(C168="FLO",VLOOKUP(E168,'Base Costs'!$M$4:$N$14,2,FALSE),IF(C168="LED STRIP",VLOOKUP(E168,'Base Costs'!$M$4:$N$14,2,FALSE),(VLOOKUP(C168,'Base Costs'!$M$4:$N$14,2,FALSE))))))</f>
        <v>0</v>
      </c>
      <c r="K168" s="736">
        <f>J168*D168</f>
        <v>0</v>
      </c>
      <c r="L168" s="737">
        <v>0.31</v>
      </c>
      <c r="M168" s="738">
        <f t="shared" si="43"/>
        <v>0</v>
      </c>
      <c r="N168" s="736">
        <f>M168*VLOOKUP($B$9,'Base Costs'!$A$32:$B$37,2,FALSE)</f>
        <v>0</v>
      </c>
      <c r="O168" s="739">
        <f t="shared" si="44"/>
        <v>0</v>
      </c>
      <c r="P168" s="744"/>
      <c r="S168" s="693"/>
      <c r="Y168" s="672"/>
    </row>
    <row r="169" spans="1:26" ht="15" hidden="1" customHeight="1" outlineLevel="1" x14ac:dyDescent="0.15">
      <c r="A169" s="665">
        <v>234</v>
      </c>
      <c r="B169" s="269" t="s">
        <v>839</v>
      </c>
      <c r="C169" s="958" t="s">
        <v>839</v>
      </c>
      <c r="D169" s="746"/>
      <c r="E169" s="747"/>
      <c r="F169" s="748"/>
      <c r="G169" s="749"/>
      <c r="H169" s="750"/>
      <c r="I169" s="751">
        <v>1</v>
      </c>
      <c r="J169" s="735">
        <f>VLOOKUP(C169,'Base Costs'!$U$4:$V$41,2,FALSE)</f>
        <v>0</v>
      </c>
      <c r="K169" s="736">
        <f t="shared" ref="K169" si="45">J169*1</f>
        <v>0</v>
      </c>
      <c r="L169" s="737">
        <v>0.25</v>
      </c>
      <c r="M169" s="738">
        <f t="shared" si="43"/>
        <v>0</v>
      </c>
      <c r="N169" s="736">
        <f>M169*VLOOKUP($B$9,'Base Costs'!$A$32:$B$37,2,FALSE)</f>
        <v>0</v>
      </c>
      <c r="O169" s="739">
        <f t="shared" si="44"/>
        <v>0</v>
      </c>
      <c r="S169" s="693"/>
      <c r="Y169" s="672"/>
    </row>
    <row r="170" spans="1:26" ht="15" hidden="1" customHeight="1" outlineLevel="1" x14ac:dyDescent="0.15">
      <c r="B170" s="269" t="s">
        <v>1396</v>
      </c>
      <c r="C170" s="958" t="s">
        <v>1396</v>
      </c>
      <c r="D170" s="972">
        <v>1</v>
      </c>
      <c r="E170" s="753"/>
      <c r="F170" s="754"/>
      <c r="G170" s="749"/>
      <c r="H170" s="750"/>
      <c r="I170" s="755"/>
      <c r="J170" s="735">
        <f>VLOOKUP(C170,'Base Costs'!$U$44:$V$56,2,FALSE)</f>
        <v>0</v>
      </c>
      <c r="K170" s="736">
        <f>J170*D170</f>
        <v>0</v>
      </c>
      <c r="L170" s="737">
        <v>0.35</v>
      </c>
      <c r="M170" s="738">
        <f t="shared" si="43"/>
        <v>0</v>
      </c>
      <c r="N170" s="736">
        <f>M170*VLOOKUP($B$9,'Base Costs'!$A$32:$B$37,2,FALSE)</f>
        <v>0</v>
      </c>
      <c r="O170" s="739">
        <f t="shared" si="44"/>
        <v>0</v>
      </c>
      <c r="S170" s="693"/>
      <c r="Y170" s="672"/>
    </row>
    <row r="171" spans="1:26" ht="15" hidden="1" customHeight="1" outlineLevel="1" x14ac:dyDescent="0.15">
      <c r="B171" s="583" t="s">
        <v>339</v>
      </c>
      <c r="C171" s="33" t="s">
        <v>342</v>
      </c>
      <c r="D171" s="734"/>
      <c r="E171" s="753" t="str">
        <f>IF(C171="","",VLOOKUP(C171,CCBASE!$A$53:$D$73,4,FALSE))</f>
        <v/>
      </c>
      <c r="F171" s="754"/>
      <c r="G171" s="749"/>
      <c r="H171" s="750"/>
      <c r="I171" s="755"/>
      <c r="J171" s="735">
        <f>IF(C171="",0,VLOOKUP(C171,CCBASE!$A$53:$C$73,2,FALSE))</f>
        <v>0</v>
      </c>
      <c r="K171" s="736">
        <f>J171*D171</f>
        <v>0</v>
      </c>
      <c r="L171" s="737">
        <v>0.44</v>
      </c>
      <c r="M171" s="738">
        <f t="shared" si="43"/>
        <v>0</v>
      </c>
      <c r="N171" s="736">
        <f>M171*VLOOKUP($B$9,'Base Costs'!$A$32:$B$37,2,FALSE)</f>
        <v>0</v>
      </c>
      <c r="O171" s="739">
        <f t="shared" si="44"/>
        <v>0</v>
      </c>
      <c r="S171" s="693"/>
      <c r="Y171" s="672"/>
    </row>
    <row r="172" spans="1:26" ht="15" hidden="1" customHeight="1" outlineLevel="1" x14ac:dyDescent="0.15">
      <c r="A172" s="665">
        <v>289</v>
      </c>
      <c r="B172" s="583" t="s">
        <v>9</v>
      </c>
      <c r="C172" s="33" t="s">
        <v>565</v>
      </c>
      <c r="D172" s="756">
        <f>ROUNDUP($F167/1000,0)</f>
        <v>0</v>
      </c>
      <c r="E172" s="1107" t="s">
        <v>1059</v>
      </c>
      <c r="F172" s="1105"/>
      <c r="G172" s="754"/>
      <c r="H172" s="750"/>
      <c r="I172" s="755"/>
      <c r="J172" s="735">
        <f>IF(D172=0,0,VLOOKUP(C172,'Base Costs'!$A$19:$B$22,2,FALSE))</f>
        <v>0</v>
      </c>
      <c r="K172" s="736">
        <f>J172*D172</f>
        <v>0</v>
      </c>
      <c r="L172" s="737">
        <v>0.44</v>
      </c>
      <c r="M172" s="738">
        <f t="shared" si="43"/>
        <v>0</v>
      </c>
      <c r="N172" s="736">
        <f>M172*VLOOKUP($B$9,'Base Costs'!$A$32:$B$37,2,FALSE)</f>
        <v>0</v>
      </c>
      <c r="O172" s="739">
        <f>M172-K172</f>
        <v>0</v>
      </c>
      <c r="S172" s="693"/>
      <c r="Y172" s="672"/>
    </row>
    <row r="173" spans="1:26" ht="15" hidden="1" customHeight="1" outlineLevel="1" x14ac:dyDescent="0.15">
      <c r="A173" s="665">
        <v>242</v>
      </c>
      <c r="B173" s="583" t="s">
        <v>44</v>
      </c>
      <c r="C173" s="752"/>
      <c r="D173" s="741" t="s">
        <v>335</v>
      </c>
      <c r="E173" s="749"/>
      <c r="F173" s="748"/>
      <c r="G173" s="749"/>
      <c r="H173" s="750"/>
      <c r="I173" s="755"/>
      <c r="J173" s="735">
        <f>IF(C173=0,0,'Base Costs'!$B$26)</f>
        <v>0</v>
      </c>
      <c r="K173" s="736">
        <f>J173*C173</f>
        <v>0</v>
      </c>
      <c r="L173" s="737">
        <v>0.44</v>
      </c>
      <c r="M173" s="738">
        <f t="shared" si="43"/>
        <v>0</v>
      </c>
      <c r="N173" s="736">
        <f>M173*VLOOKUP($B$9,'Base Costs'!$A$32:$B$37,2,FALSE)</f>
        <v>0</v>
      </c>
      <c r="O173" s="739">
        <f t="shared" ref="O173:O180" si="46">M173-K173</f>
        <v>0</v>
      </c>
      <c r="S173" s="693"/>
      <c r="Y173" s="672"/>
    </row>
    <row r="174" spans="1:26" ht="15" hidden="1" customHeight="1" outlineLevel="1" x14ac:dyDescent="0.15">
      <c r="A174" s="665">
        <v>220</v>
      </c>
      <c r="B174" s="730" t="s">
        <v>43</v>
      </c>
      <c r="C174" s="752"/>
      <c r="D174" s="741" t="s">
        <v>336</v>
      </c>
      <c r="E174" s="748"/>
      <c r="F174" s="748"/>
      <c r="G174" s="757" t="str">
        <f>IF(ISNUMBER(SEARCH("KSA",$D175)),"MAX. EXTRACT (m³/s)", "")</f>
        <v/>
      </c>
      <c r="H174" s="1102" t="str">
        <f>IF(ISNUMBER(SEARCH("MUAP",$D167)),"MAX.  SUPPLY (m³/s)",IF(ISNUMBER(SEARCH("SPECIAL",$D167)),"MAX.  SUPPLY (m³/s)",(IF(ISNUMBER(SEARCH("F",$D167)),"MAX.  SUPPLY (m³/s)",""))))</f>
        <v/>
      </c>
      <c r="I174" s="1102"/>
      <c r="J174" s="735">
        <f>IF(C174=0,0,'Base Costs'!$B$29)</f>
        <v>0</v>
      </c>
      <c r="K174" s="736">
        <f>J174*C174</f>
        <v>0</v>
      </c>
      <c r="L174" s="737">
        <v>0.44</v>
      </c>
      <c r="M174" s="738">
        <f t="shared" si="43"/>
        <v>0</v>
      </c>
      <c r="N174" s="736">
        <f>M174*VLOOKUP($B$9,'Base Costs'!$A$32:$B$37,2,FALSE)</f>
        <v>0</v>
      </c>
      <c r="O174" s="739">
        <f t="shared" si="46"/>
        <v>0</v>
      </c>
      <c r="S174" s="693"/>
      <c r="Y174" s="672"/>
    </row>
    <row r="175" spans="1:26" ht="15" hidden="1" customHeight="1" outlineLevel="1" x14ac:dyDescent="0.15">
      <c r="A175" s="665">
        <v>103</v>
      </c>
      <c r="B175" s="730" t="s">
        <v>3</v>
      </c>
      <c r="C175" s="740">
        <f>IF(ISNUMBER(SEARCH("CMW",D167)),1,IF(F165=0,0,(ROUNDDOWN(((((F167-(100+(50*H165))))/H167)/500),0)*H165)))</f>
        <v>0</v>
      </c>
      <c r="D175" s="741" t="str">
        <f>VLOOKUP(D167,'Base Costs'!$A$39:$B$58,2,FALSE)</f>
        <v>FILTER TYPE</v>
      </c>
      <c r="E175" s="758" t="str">
        <f>IF(C175=0,0,IF(D175="KSA",ROUND(I167/C175,3),""))&amp; "  m³/s per filter"</f>
        <v>0  m³/s per filter</v>
      </c>
      <c r="F175" s="758" t="str">
        <f>IF(C175=0," Pa",ROUND((((I167*3600)/(C175*I164))^2),1)+20&amp; " Pa")</f>
        <v xml:space="preserve"> Pa</v>
      </c>
      <c r="G175" s="759" t="str">
        <f>IF(ISNUMBER(SEARCH("KSA",$D175)),$C175*0.25, "")</f>
        <v/>
      </c>
      <c r="H175" s="1103" t="str">
        <f>IF(ISNUMBER(SEARCH("MUAP",$D167)),0.225*($F167/1000),IF(ISNUMBER(SEARCH("SPECIAL",$D167)),0.225*($F167/1000),(IF(ISNUMBER(SEARCH("F",$D167)),0.225*($F167/1000),""))))</f>
        <v/>
      </c>
      <c r="I175" s="1103"/>
      <c r="J175" s="735">
        <f>IF(ISNA(D175),0,(VLOOKUP(D175,'Base Costs'!$Q$4:$R$11,2,FALSE)))</f>
        <v>0</v>
      </c>
      <c r="K175" s="736">
        <f>IF(ISNA(D175),0,IF(D175="MX",J175*1,J175*C175))</f>
        <v>0</v>
      </c>
      <c r="L175" s="737">
        <v>0.44</v>
      </c>
      <c r="M175" s="738">
        <f t="shared" si="43"/>
        <v>0</v>
      </c>
      <c r="N175" s="736">
        <f>M175*VLOOKUP($B$9,'Base Costs'!$A$32:$B$37,2,FALSE)</f>
        <v>0</v>
      </c>
      <c r="O175" s="739">
        <f t="shared" si="46"/>
        <v>0</v>
      </c>
      <c r="S175" s="693"/>
      <c r="Y175" s="672"/>
    </row>
    <row r="176" spans="1:26" ht="15" hidden="1" customHeight="1" outlineLevel="1" x14ac:dyDescent="0.15">
      <c r="B176" s="269" t="s">
        <v>1351</v>
      </c>
      <c r="C176" s="740">
        <v>0</v>
      </c>
      <c r="D176" s="856" t="str">
        <f>VLOOKUP(D167,'Base Costs'!$A$39:$C$58,3,FALSE)</f>
        <v>PSU</v>
      </c>
      <c r="E176" s="758" t="str">
        <f>IF(C176=0,0,IF(D176="PSU",ROUND(I167/C176,3),""))&amp; " m³/s per filter"</f>
        <v>0 m³/s per filter</v>
      </c>
      <c r="F176" s="758" t="str">
        <f>IF(C176=0," Pa",ROUND((((I167*3600)/(C176*I164))^2),1)+20&amp; " Pa")</f>
        <v xml:space="preserve"> Pa</v>
      </c>
      <c r="G176" s="759" t="str">
        <f>IF(ISNUMBER(SEARCH("KSA",$D176)),$C176*0.25, "")</f>
        <v/>
      </c>
      <c r="H176" s="1103" t="str">
        <f>IF(ISNUMBER(SEARCH("MUAP",$D167)),0.225*($F167/1000),IF(ISNUMBER(SEARCH("SPECIAL",$D167)),0.225*($F167/1000),(IF(ISNUMBER(SEARCH("F",$D167)),0.225*($F167/1000),""))))</f>
        <v/>
      </c>
      <c r="I176" s="1103"/>
      <c r="J176" s="735"/>
      <c r="K176" s="736">
        <f>IF(ISNA(D176),0,IF(D176="MX",J176*1,J176*C176))</f>
        <v>0</v>
      </c>
      <c r="L176" s="737">
        <v>0.44</v>
      </c>
      <c r="M176" s="738">
        <f t="shared" si="43"/>
        <v>0</v>
      </c>
      <c r="N176" s="736">
        <f>M176*VLOOKUP($B$9,'Base Costs'!$A$32:$B$37,2,FALSE)</f>
        <v>0</v>
      </c>
      <c r="O176" s="739">
        <f t="shared" si="46"/>
        <v>0</v>
      </c>
      <c r="S176" s="693"/>
      <c r="Y176" s="672"/>
    </row>
    <row r="177" spans="1:25" ht="15" hidden="1" customHeight="1" outlineLevel="1" x14ac:dyDescent="0.15">
      <c r="A177" s="665">
        <v>107</v>
      </c>
      <c r="B177" s="760" t="str">
        <f>IF(ISNUMBER(SEARCH("UV",D167)),"UV-C COMPONENTS",IF(ISNUMBER(SEARCH("CMW",D167)),"WATERWASH COMPONENTS",""))</f>
        <v/>
      </c>
      <c r="C177" s="761" t="str">
        <f>IF(H165=0,"UVR",IF(I167=0,"UVR",IF(I177&gt;0,("UVR")&amp;(INDEX('Base Costs'!$AH$5:$AI$10,(MATCH((I167/H165),'Base Costs'!$AI$5:$AI$10,-1)),1))&amp;("-")&amp;(H165),"UVR")))</f>
        <v>UVR</v>
      </c>
      <c r="D177" s="769" t="str">
        <f>VLOOKUP(C177,'Base Costs'!$Z$4:$AF$77,7,FALSE)&amp;" m³/s"</f>
        <v xml:space="preserve"> m³/s</v>
      </c>
      <c r="E177" s="763" t="str">
        <f>IF(ISNUMBER(SEARCH("L",C177)),"LONG RACK IN SECTION","SHORTRACK")</f>
        <v>SHORTRACK</v>
      </c>
      <c r="F177" s="764" t="str">
        <f>IF(ISNUMBER(SEARCH("L",C177)),ROUND(F167/H167,1)&amp;" mm","")</f>
        <v/>
      </c>
      <c r="G177" s="754"/>
      <c r="H177" s="754"/>
      <c r="I177" s="751">
        <f>IF(ISNUMBER(SEARCH("UV",D167)),1, 0)</f>
        <v>0</v>
      </c>
      <c r="J177" s="735">
        <f>IF(ISNA(C177),0,VLOOKUP(C177,'Base Costs'!$Z$4:$AF$77,2,FALSE))</f>
        <v>0</v>
      </c>
      <c r="K177" s="736">
        <f t="shared" ref="K177" si="47">J177*1</f>
        <v>0</v>
      </c>
      <c r="L177" s="737">
        <v>0.44</v>
      </c>
      <c r="M177" s="738">
        <f t="shared" si="43"/>
        <v>0</v>
      </c>
      <c r="N177" s="736">
        <f>M177*VLOOKUP($B$9,'Base Costs'!$A$32:$B$37,2,FALSE)</f>
        <v>0</v>
      </c>
      <c r="O177" s="739">
        <f t="shared" si="46"/>
        <v>0</v>
      </c>
      <c r="S177" s="693"/>
      <c r="Y177" s="672"/>
    </row>
    <row r="178" spans="1:25" ht="15" hidden="1" customHeight="1" outlineLevel="1" x14ac:dyDescent="0.15">
      <c r="B178" s="730" t="str">
        <f>IF(ISNUMBER(SEARCH("UV",D167)),"UV-C 2ND FILTER",IF(ISNUMBER(SEARCH("CMW",D167)),"CONTROL PANEL",""))</f>
        <v/>
      </c>
      <c r="C178" s="758" t="s">
        <v>588</v>
      </c>
      <c r="D178" s="760" t="str">
        <f>IF(ISNUMBER(SEARCH("CP1S",$C178)),"Up to 12m of canopy","")</f>
        <v/>
      </c>
      <c r="E178" s="760" t="str">
        <f>IF(ISNUMBER(SEARCH("CMW",$D167)),"CWS REQUIREMENT @ 2Bar","")</f>
        <v/>
      </c>
      <c r="F178" s="765" t="str">
        <f>IF(ISNUMBER(SEARCH("CMW",$D167)),$F167/1000*0.02&amp;" L/S","")</f>
        <v/>
      </c>
      <c r="G178" s="754"/>
      <c r="H178" s="750"/>
      <c r="I178" s="751">
        <f>C175</f>
        <v>0</v>
      </c>
      <c r="J178" s="735">
        <f>IF(ISNUMBER(SEARCH("CMW",D167)),VLOOKUP(C178,CCBASE!$A$81:$B$85,2,FALSE),(IF(I177&gt;0,'Base Costs'!$R$7,0)))</f>
        <v>0</v>
      </c>
      <c r="K178" s="736">
        <f>J178*C175</f>
        <v>0</v>
      </c>
      <c r="L178" s="737">
        <v>0.44</v>
      </c>
      <c r="M178" s="738">
        <f t="shared" si="43"/>
        <v>0</v>
      </c>
      <c r="N178" s="736">
        <f>M178*VLOOKUP($B$9,'Base Costs'!$A$32:$B$37,2,FALSE)</f>
        <v>0</v>
      </c>
      <c r="O178" s="739">
        <f t="shared" si="46"/>
        <v>0</v>
      </c>
      <c r="S178" s="693"/>
      <c r="Y178" s="672"/>
    </row>
    <row r="179" spans="1:25" ht="15" hidden="1" customHeight="1" outlineLevel="1" x14ac:dyDescent="0.15">
      <c r="A179" s="665">
        <v>285</v>
      </c>
      <c r="B179" s="730" t="str">
        <f>IF(ISNUMBER(SEARCH("UV",D167)),"UV-C WORKSHOP WIRING",IF(ISNUMBER(SEARCH("CMW",D167)),"W/W PODS",""))</f>
        <v/>
      </c>
      <c r="C179" s="758" t="s">
        <v>714</v>
      </c>
      <c r="D179" s="758">
        <v>0</v>
      </c>
      <c r="E179" s="760" t="str">
        <f>IF(ISNUMBER(SEARCH("CMW",$D167)),"HWS REQUIREMENT @ 60°C ","")</f>
        <v/>
      </c>
      <c r="F179" s="766" t="str">
        <f>IF(ISNUMBER(SEARCH("CMW",$D167)),$F167/1000*0.103&amp;" L/S","")</f>
        <v/>
      </c>
      <c r="G179" s="754"/>
      <c r="H179" s="750"/>
      <c r="I179" s="751">
        <f>IF(I177&gt;0,H165,0)</f>
        <v>0</v>
      </c>
      <c r="J179" s="735">
        <f>IF(ISNUMBER(SEARCH("CMW",D167)),VLOOKUP(C179,'Base Costs'!$Q$35:$R$45,2,FALSE),IF(I179=0,0,36*1.03))</f>
        <v>0</v>
      </c>
      <c r="K179" s="736">
        <f>IF(ISNUMBER(SEARCH("CMW",D167)),J179*D179,J179*H165)</f>
        <v>0</v>
      </c>
      <c r="L179" s="737">
        <v>0.44</v>
      </c>
      <c r="M179" s="738">
        <f t="shared" si="43"/>
        <v>0</v>
      </c>
      <c r="N179" s="736">
        <f>M179*VLOOKUP($B$9,'Base Costs'!$A$32:$B$37,2,FALSE)</f>
        <v>0</v>
      </c>
      <c r="O179" s="739">
        <f t="shared" si="46"/>
        <v>0</v>
      </c>
      <c r="S179" s="693"/>
      <c r="Y179" s="672"/>
    </row>
    <row r="180" spans="1:25" ht="15" hidden="1" customHeight="1" outlineLevel="1" x14ac:dyDescent="0.15">
      <c r="A180" s="665">
        <v>286</v>
      </c>
      <c r="B180" s="730" t="str">
        <f>IF(ISNUMBER(SEARCH("CMW",$D167)),"CWS/HWS PIPEWORK UP TO 5M",IF(ISNUMBER(SEARCH("UV",$D167)),"MU5 INTERFACE", ""))</f>
        <v/>
      </c>
      <c r="C180" s="758">
        <v>1</v>
      </c>
      <c r="D180" s="767"/>
      <c r="E180" s="760" t="str">
        <f>IF(ISNUMBER(SEARCH("CMW",$D167)),"HW STORAGE 3m wash","")</f>
        <v/>
      </c>
      <c r="F180" s="765" t="str">
        <f>IF(ISNUMBER(SEARCH("CMW",$D167)),($F167/1000)*0.103*180&amp;" L","")</f>
        <v/>
      </c>
      <c r="G180" s="749"/>
      <c r="H180" s="750"/>
      <c r="I180" s="751">
        <f>IF(I177=0,0,1)</f>
        <v>0</v>
      </c>
      <c r="J180" s="735">
        <f>IF(B180="CWS/HWS PIPEWORK UP TO 5M",CCBASE!$B$65,IF(I180=0,0,100*1.44))</f>
        <v>0</v>
      </c>
      <c r="K180" s="736">
        <f>J180*C180</f>
        <v>0</v>
      </c>
      <c r="L180" s="737">
        <v>0.44</v>
      </c>
      <c r="M180" s="738">
        <f t="shared" si="43"/>
        <v>0</v>
      </c>
      <c r="N180" s="736">
        <f>M180*VLOOKUP($B$9,'Base Costs'!$A$32:$B$37,2,FALSE)</f>
        <v>0</v>
      </c>
      <c r="O180" s="739">
        <f t="shared" si="46"/>
        <v>0</v>
      </c>
      <c r="S180" s="693"/>
      <c r="Y180" s="672"/>
    </row>
    <row r="181" spans="1:25" ht="15" customHeight="1" collapsed="1" x14ac:dyDescent="0.15">
      <c r="B181" s="770"/>
      <c r="C181" s="770"/>
      <c r="D181" s="770"/>
      <c r="E181" s="770"/>
      <c r="F181" s="770"/>
      <c r="G181" s="770"/>
      <c r="H181" s="714"/>
      <c r="I181" s="714"/>
      <c r="J181" s="716"/>
      <c r="K181" s="771"/>
      <c r="L181" s="772"/>
      <c r="M181" s="771"/>
      <c r="N181" s="771"/>
      <c r="S181" s="693"/>
      <c r="Y181" s="672"/>
    </row>
    <row r="182" spans="1:25" ht="15" customHeight="1" x14ac:dyDescent="0.15">
      <c r="B182" s="1125" t="s">
        <v>47</v>
      </c>
      <c r="C182" s="1125"/>
      <c r="D182" s="1125"/>
      <c r="E182" s="1125"/>
      <c r="F182" s="1125"/>
      <c r="G182" s="1125"/>
      <c r="H182" s="719"/>
      <c r="I182" s="719"/>
      <c r="J182" s="773"/>
      <c r="K182" s="722">
        <f>SUBTOTAL(9,K183:K197)</f>
        <v>1027.2</v>
      </c>
      <c r="L182" s="703">
        <f>IF(K182=0,"-",O182/M182)</f>
        <v>0.39213566507684156</v>
      </c>
      <c r="M182" s="722">
        <f>SUBTOTAL(9,M183:M197)</f>
        <v>1689.8507462686568</v>
      </c>
      <c r="N182" s="704">
        <f>SUBTOTAL(9,N183:N197)</f>
        <v>1689.8507462686568</v>
      </c>
      <c r="O182" s="702">
        <f>SUBTOTAL(9,O183:O197)</f>
        <v>662.6507462686568</v>
      </c>
      <c r="S182" s="693"/>
    </row>
    <row r="183" spans="1:25" ht="15" customHeight="1" x14ac:dyDescent="0.15">
      <c r="A183" s="665">
        <v>222</v>
      </c>
      <c r="B183" s="270" t="s">
        <v>1100</v>
      </c>
      <c r="C183" s="774"/>
      <c r="D183" s="775" t="s">
        <v>45</v>
      </c>
      <c r="E183" s="1104" t="s">
        <v>727</v>
      </c>
      <c r="F183" s="1105"/>
      <c r="G183" s="1106"/>
      <c r="H183" s="1106"/>
      <c r="I183" s="1106"/>
      <c r="J183" s="776">
        <f>VLOOKUP(D183,'Base Costs'!E4:G213,2,FALSE)</f>
        <v>0</v>
      </c>
      <c r="K183" s="736">
        <f t="shared" ref="K183:K197" si="48">C183*J183</f>
        <v>0</v>
      </c>
      <c r="L183" s="737">
        <v>0.33</v>
      </c>
      <c r="M183" s="738">
        <f t="shared" ref="M183:M197" si="49">K183/(1-L183)*(1+$C$9)</f>
        <v>0</v>
      </c>
      <c r="N183" s="736">
        <f>M183*VLOOKUP($B$9,'Base Costs'!$A$32:$B$37,2,FALSE)</f>
        <v>0</v>
      </c>
      <c r="O183" s="739">
        <f t="shared" ref="O183:O197" si="50">M183-K183</f>
        <v>0</v>
      </c>
      <c r="S183" s="693"/>
    </row>
    <row r="184" spans="1:25" ht="15" customHeight="1" x14ac:dyDescent="0.15">
      <c r="A184" s="665">
        <v>257</v>
      </c>
      <c r="B184" s="269" t="s">
        <v>884</v>
      </c>
      <c r="C184" s="777"/>
      <c r="D184" s="775" t="s">
        <v>184</v>
      </c>
      <c r="E184" s="1135" t="s">
        <v>883</v>
      </c>
      <c r="F184" s="1136"/>
      <c r="G184" s="748"/>
      <c r="H184" s="748"/>
      <c r="I184" s="748"/>
      <c r="J184" s="776">
        <f>VLOOKUP(D184,'Base Costs'!$A$4:$B$16,2,FALSE)</f>
        <v>0</v>
      </c>
      <c r="K184" s="736">
        <f t="shared" si="48"/>
        <v>0</v>
      </c>
      <c r="L184" s="737">
        <v>0.33</v>
      </c>
      <c r="M184" s="738">
        <f t="shared" si="49"/>
        <v>0</v>
      </c>
      <c r="N184" s="736">
        <f>M184*VLOOKUP($B$9,'Base Costs'!$A$32:$B$37,2,FALSE)</f>
        <v>0</v>
      </c>
      <c r="O184" s="739">
        <f t="shared" si="50"/>
        <v>0</v>
      </c>
      <c r="S184" s="693"/>
    </row>
    <row r="185" spans="1:25" ht="15" customHeight="1" x14ac:dyDescent="0.15">
      <c r="A185" s="665">
        <v>257</v>
      </c>
      <c r="B185" s="961" t="s">
        <v>884</v>
      </c>
      <c r="C185" s="967">
        <v>1</v>
      </c>
      <c r="D185" s="959" t="s">
        <v>879</v>
      </c>
      <c r="E185" s="1139" t="s">
        <v>883</v>
      </c>
      <c r="F185" s="1140"/>
      <c r="G185" s="748"/>
      <c r="H185" s="748"/>
      <c r="I185" s="748"/>
      <c r="J185" s="776">
        <f>VLOOKUP(D185,'Base Costs'!$A$4:$B$16,2,FALSE)</f>
        <v>127.2</v>
      </c>
      <c r="K185" s="736">
        <f t="shared" si="48"/>
        <v>127.2</v>
      </c>
      <c r="L185" s="737">
        <v>0.33</v>
      </c>
      <c r="M185" s="738">
        <f t="shared" si="49"/>
        <v>189.85074626865674</v>
      </c>
      <c r="N185" s="736">
        <f>M185*VLOOKUP($B$9,'Base Costs'!$A$32:$B$37,2,FALSE)</f>
        <v>189.85074626865674</v>
      </c>
      <c r="O185" s="739">
        <f t="shared" si="50"/>
        <v>62.650746268656732</v>
      </c>
      <c r="P185" s="217" t="s">
        <v>1360</v>
      </c>
      <c r="S185" s="693"/>
    </row>
    <row r="186" spans="1:25" ht="15" customHeight="1" x14ac:dyDescent="0.15">
      <c r="A186" s="665">
        <v>222</v>
      </c>
      <c r="B186" s="950" t="s">
        <v>1361</v>
      </c>
      <c r="C186" s="968">
        <v>0.5</v>
      </c>
      <c r="D186" s="959" t="s">
        <v>45</v>
      </c>
      <c r="E186" s="1141" t="s">
        <v>1374</v>
      </c>
      <c r="F186" s="1142"/>
      <c r="G186" s="1106"/>
      <c r="H186" s="1106"/>
      <c r="I186" s="1106"/>
      <c r="J186" s="776">
        <f>VLOOKUP(D186,'Base Costs'!E4:G213,2,FALSE)</f>
        <v>0</v>
      </c>
      <c r="K186" s="736">
        <f t="shared" si="48"/>
        <v>0</v>
      </c>
      <c r="L186" s="737">
        <v>0.33</v>
      </c>
      <c r="M186" s="738">
        <f t="shared" si="49"/>
        <v>0</v>
      </c>
      <c r="N186" s="736">
        <f>M186*VLOOKUP($B$9,'Base Costs'!$A$32:$B$37,2,FALSE)</f>
        <v>0</v>
      </c>
      <c r="O186" s="739">
        <f t="shared" si="50"/>
        <v>0</v>
      </c>
      <c r="P186" s="217" t="s">
        <v>1360</v>
      </c>
      <c r="S186" s="693"/>
    </row>
    <row r="187" spans="1:25" ht="15" customHeight="1" x14ac:dyDescent="0.15">
      <c r="A187" s="665">
        <v>400</v>
      </c>
      <c r="B187" s="730" t="s">
        <v>16</v>
      </c>
      <c r="C187" s="777"/>
      <c r="D187" s="749" t="s">
        <v>137</v>
      </c>
      <c r="E187" s="748"/>
      <c r="F187" s="748"/>
      <c r="G187" s="748"/>
      <c r="H187" s="748"/>
      <c r="I187" s="748"/>
      <c r="J187" s="776">
        <v>550</v>
      </c>
      <c r="K187" s="736">
        <f t="shared" si="48"/>
        <v>0</v>
      </c>
      <c r="L187" s="737">
        <v>0.33</v>
      </c>
      <c r="M187" s="738">
        <f t="shared" si="49"/>
        <v>0</v>
      </c>
      <c r="N187" s="736">
        <f>M187*VLOOKUP($B$9,'Base Costs'!$A$32:$B$37,2,FALSE)</f>
        <v>0</v>
      </c>
      <c r="O187" s="739">
        <f t="shared" si="50"/>
        <v>0</v>
      </c>
      <c r="S187" s="693"/>
    </row>
    <row r="188" spans="1:25" ht="15" customHeight="1" x14ac:dyDescent="0.15">
      <c r="A188" s="665">
        <v>102</v>
      </c>
      <c r="B188" s="269" t="s">
        <v>1066</v>
      </c>
      <c r="C188" s="242"/>
      <c r="D188" s="749" t="s">
        <v>199</v>
      </c>
      <c r="E188" s="748"/>
      <c r="F188" s="748"/>
      <c r="G188" s="748"/>
      <c r="H188" s="748"/>
      <c r="I188" s="748"/>
      <c r="J188" s="776">
        <v>34</v>
      </c>
      <c r="K188" s="736">
        <f t="shared" si="48"/>
        <v>0</v>
      </c>
      <c r="L188" s="737">
        <v>0.33</v>
      </c>
      <c r="M188" s="738">
        <f t="shared" si="49"/>
        <v>0</v>
      </c>
      <c r="N188" s="736">
        <f>M188*VLOOKUP($B$9,'Base Costs'!$A$32:$B$37,2,FALSE)</f>
        <v>0</v>
      </c>
      <c r="O188" s="739">
        <f t="shared" si="50"/>
        <v>0</v>
      </c>
      <c r="S188" s="693"/>
    </row>
    <row r="189" spans="1:25" ht="15" customHeight="1" x14ac:dyDescent="0.15">
      <c r="A189" s="665">
        <v>400</v>
      </c>
      <c r="B189" s="961" t="s">
        <v>1376</v>
      </c>
      <c r="C189" s="777">
        <v>1</v>
      </c>
      <c r="D189" s="1137" t="s">
        <v>1377</v>
      </c>
      <c r="E189" s="1138"/>
      <c r="F189" s="1138"/>
      <c r="G189" s="30"/>
      <c r="H189" s="30"/>
      <c r="I189" s="30"/>
      <c r="J189" s="776">
        <v>350</v>
      </c>
      <c r="K189" s="736">
        <f t="shared" si="48"/>
        <v>350</v>
      </c>
      <c r="L189" s="737">
        <v>0.4</v>
      </c>
      <c r="M189" s="738">
        <f t="shared" si="49"/>
        <v>583.33333333333337</v>
      </c>
      <c r="N189" s="736">
        <f>M189*VLOOKUP($B$9,'Base Costs'!$A$32:$B$37,2,FALSE)</f>
        <v>583.33333333333337</v>
      </c>
      <c r="O189" s="739">
        <f t="shared" si="50"/>
        <v>233.33333333333337</v>
      </c>
      <c r="P189" s="217" t="s">
        <v>1360</v>
      </c>
      <c r="S189" s="693"/>
    </row>
    <row r="190" spans="1:25" ht="15" customHeight="1" x14ac:dyDescent="0.15">
      <c r="A190" s="665">
        <v>400</v>
      </c>
      <c r="B190" s="961" t="s">
        <v>1378</v>
      </c>
      <c r="C190" s="969">
        <v>1</v>
      </c>
      <c r="D190" s="1137" t="s">
        <v>1379</v>
      </c>
      <c r="E190" s="1138"/>
      <c r="F190" s="1138"/>
      <c r="G190" s="1133" t="s">
        <v>1427</v>
      </c>
      <c r="H190" s="1133"/>
      <c r="I190" s="1133"/>
      <c r="J190" s="776">
        <v>550</v>
      </c>
      <c r="K190" s="736">
        <f t="shared" si="48"/>
        <v>550</v>
      </c>
      <c r="L190" s="737">
        <v>0.4</v>
      </c>
      <c r="M190" s="738">
        <f t="shared" si="49"/>
        <v>916.66666666666674</v>
      </c>
      <c r="N190" s="736">
        <f>M190*VLOOKUP($B$9,'Base Costs'!$A$32:$B$37,2,FALSE)</f>
        <v>916.66666666666674</v>
      </c>
      <c r="O190" s="739">
        <f t="shared" si="50"/>
        <v>366.66666666666674</v>
      </c>
      <c r="P190" s="217" t="s">
        <v>1360</v>
      </c>
      <c r="S190" s="693"/>
    </row>
    <row r="191" spans="1:25" ht="15" customHeight="1" x14ac:dyDescent="0.15">
      <c r="A191" s="665">
        <v>253</v>
      </c>
      <c r="B191" s="791" t="s">
        <v>1062</v>
      </c>
      <c r="C191" s="777"/>
      <c r="D191" s="30" t="s">
        <v>1061</v>
      </c>
      <c r="E191" s="748"/>
      <c r="F191" s="748"/>
      <c r="G191" s="748"/>
      <c r="H191" s="748"/>
      <c r="I191" s="748"/>
      <c r="J191" s="776">
        <v>550</v>
      </c>
      <c r="K191" s="736">
        <f t="shared" si="48"/>
        <v>0</v>
      </c>
      <c r="L191" s="737">
        <v>0.33</v>
      </c>
      <c r="M191" s="738">
        <f t="shared" si="49"/>
        <v>0</v>
      </c>
      <c r="N191" s="736">
        <f>M191*VLOOKUP($B$9,'Base Costs'!$A$32:$B$37,2,FALSE)</f>
        <v>0</v>
      </c>
      <c r="O191" s="739">
        <f t="shared" si="50"/>
        <v>0</v>
      </c>
      <c r="S191" s="693"/>
    </row>
    <row r="192" spans="1:25" ht="15" customHeight="1" x14ac:dyDescent="0.15">
      <c r="A192" s="665">
        <v>253</v>
      </c>
      <c r="B192" s="269" t="s">
        <v>1060</v>
      </c>
      <c r="C192" s="777"/>
      <c r="D192" s="749" t="s">
        <v>139</v>
      </c>
      <c r="E192" s="748"/>
      <c r="F192" s="748"/>
      <c r="G192" s="748"/>
      <c r="H192" s="748"/>
      <c r="I192" s="748"/>
      <c r="J192" s="776">
        <v>0</v>
      </c>
      <c r="K192" s="736">
        <f t="shared" si="48"/>
        <v>0</v>
      </c>
      <c r="L192" s="737">
        <v>0.33</v>
      </c>
      <c r="M192" s="738">
        <f t="shared" si="49"/>
        <v>0</v>
      </c>
      <c r="N192" s="736">
        <f>M192*VLOOKUP($B$9,'Base Costs'!$A$32:$B$37,2,FALSE)</f>
        <v>0</v>
      </c>
      <c r="O192" s="739">
        <f t="shared" si="50"/>
        <v>0</v>
      </c>
      <c r="S192" s="693"/>
    </row>
    <row r="193" spans="1:19" ht="15" customHeight="1" x14ac:dyDescent="0.15">
      <c r="A193" s="665">
        <v>280</v>
      </c>
      <c r="B193" s="730" t="s">
        <v>32</v>
      </c>
      <c r="C193" s="774"/>
      <c r="D193" s="1134" t="s">
        <v>719</v>
      </c>
      <c r="E193" s="1114"/>
      <c r="F193" s="1114"/>
      <c r="G193" s="748"/>
      <c r="H193" s="748"/>
      <c r="I193" s="748"/>
      <c r="J193" s="776">
        <v>604</v>
      </c>
      <c r="K193" s="736">
        <f>C193*J193</f>
        <v>0</v>
      </c>
      <c r="L193" s="737">
        <v>0.33</v>
      </c>
      <c r="M193" s="738">
        <f t="shared" si="49"/>
        <v>0</v>
      </c>
      <c r="N193" s="736">
        <f>M193*VLOOKUP($B$9,'Base Costs'!$A$32:$B$37,2,FALSE)</f>
        <v>0</v>
      </c>
      <c r="O193" s="739">
        <f>M193-K193</f>
        <v>0</v>
      </c>
      <c r="S193" s="693"/>
    </row>
    <row r="194" spans="1:19" ht="15" customHeight="1" x14ac:dyDescent="0.15">
      <c r="B194" s="791" t="s">
        <v>852</v>
      </c>
      <c r="C194" s="777"/>
      <c r="D194" s="1128" t="s">
        <v>821</v>
      </c>
      <c r="E194" s="1129"/>
      <c r="F194" s="1129"/>
      <c r="G194" s="748"/>
      <c r="H194" s="748"/>
      <c r="I194" s="748"/>
      <c r="J194" s="776">
        <v>1029</v>
      </c>
      <c r="K194" s="736">
        <f t="shared" si="48"/>
        <v>0</v>
      </c>
      <c r="L194" s="737">
        <v>0.33</v>
      </c>
      <c r="M194" s="738">
        <f t="shared" si="49"/>
        <v>0</v>
      </c>
      <c r="N194" s="736">
        <f>M194*VLOOKUP($B$9,'Base Costs'!$A$32:$B$37,2,FALSE)</f>
        <v>0</v>
      </c>
      <c r="O194" s="739">
        <f>M194-K194</f>
        <v>0</v>
      </c>
      <c r="S194" s="693"/>
    </row>
    <row r="195" spans="1:19" ht="15" customHeight="1" x14ac:dyDescent="0.15">
      <c r="B195" s="941" t="s">
        <v>872</v>
      </c>
      <c r="C195" s="777"/>
      <c r="D195" s="1126" t="s">
        <v>1347</v>
      </c>
      <c r="E195" s="1127"/>
      <c r="F195" s="790"/>
      <c r="G195" s="748"/>
      <c r="H195" s="748"/>
      <c r="I195" s="748"/>
      <c r="J195" s="776">
        <v>210.72</v>
      </c>
      <c r="K195" s="736">
        <f t="shared" si="48"/>
        <v>0</v>
      </c>
      <c r="L195" s="737">
        <v>0.33</v>
      </c>
      <c r="M195" s="738">
        <f t="shared" si="49"/>
        <v>0</v>
      </c>
      <c r="N195" s="736">
        <f>M195*VLOOKUP($B$9,'Base Costs'!$A$32:$B$37,2,FALSE)</f>
        <v>0</v>
      </c>
      <c r="O195" s="739">
        <f>M195-K195</f>
        <v>0</v>
      </c>
      <c r="S195" s="693"/>
    </row>
    <row r="196" spans="1:19" ht="15" customHeight="1" x14ac:dyDescent="0.15">
      <c r="B196" s="791" t="s">
        <v>818</v>
      </c>
      <c r="C196" s="777"/>
      <c r="D196" s="1130" t="s">
        <v>1348</v>
      </c>
      <c r="E196" s="1131"/>
      <c r="F196" s="790"/>
      <c r="G196" s="748"/>
      <c r="H196" s="748"/>
      <c r="I196" s="748"/>
      <c r="J196" s="776">
        <v>234.9</v>
      </c>
      <c r="K196" s="736">
        <f t="shared" si="48"/>
        <v>0</v>
      </c>
      <c r="L196" s="737">
        <v>0.33</v>
      </c>
      <c r="M196" s="738">
        <f t="shared" si="49"/>
        <v>0</v>
      </c>
      <c r="N196" s="736">
        <f>M196*VLOOKUP($B$9,'Base Costs'!$A$32:$B$37,2,FALSE)</f>
        <v>0</v>
      </c>
      <c r="O196" s="739">
        <f>M196-K196</f>
        <v>0</v>
      </c>
      <c r="S196" s="693"/>
    </row>
    <row r="197" spans="1:19" ht="15" customHeight="1" x14ac:dyDescent="0.15">
      <c r="A197" s="665">
        <v>284</v>
      </c>
      <c r="B197" s="730" t="s">
        <v>200</v>
      </c>
      <c r="C197" s="777"/>
      <c r="D197" s="1104" t="s">
        <v>720</v>
      </c>
      <c r="E197" s="1105"/>
      <c r="F197" s="1105"/>
      <c r="G197" s="748"/>
      <c r="H197" s="748"/>
      <c r="I197" s="748"/>
      <c r="J197" s="776">
        <v>215</v>
      </c>
      <c r="K197" s="736">
        <f t="shared" si="48"/>
        <v>0</v>
      </c>
      <c r="L197" s="737">
        <v>0.33</v>
      </c>
      <c r="M197" s="738">
        <f t="shared" si="49"/>
        <v>0</v>
      </c>
      <c r="N197" s="736">
        <f>M197*VLOOKUP($B$9,'Base Costs'!$A$32:$B$37,2,FALSE)</f>
        <v>0</v>
      </c>
      <c r="O197" s="739">
        <f t="shared" si="50"/>
        <v>0</v>
      </c>
      <c r="S197" s="693"/>
    </row>
    <row r="198" spans="1:19" ht="15" customHeight="1" x14ac:dyDescent="0.15">
      <c r="B198" s="770"/>
      <c r="C198" s="770"/>
      <c r="D198" s="770"/>
      <c r="E198" s="770"/>
      <c r="F198" s="770"/>
      <c r="G198" s="778"/>
      <c r="H198" s="779"/>
      <c r="I198" s="779"/>
      <c r="J198" s="780"/>
      <c r="K198" s="771"/>
      <c r="L198" s="781"/>
      <c r="M198" s="771"/>
      <c r="N198" s="771"/>
      <c r="S198" s="693"/>
    </row>
    <row r="199" spans="1:19" ht="15" customHeight="1" x14ac:dyDescent="0.2">
      <c r="B199" s="782" t="s">
        <v>121</v>
      </c>
      <c r="C199" s="783"/>
      <c r="D199" s="784"/>
      <c r="E199" s="784"/>
      <c r="F199" s="783"/>
      <c r="G199" s="785"/>
      <c r="H199" s="783"/>
      <c r="I199" s="783"/>
      <c r="J199" s="783"/>
      <c r="K199" s="783"/>
      <c r="L199" s="783"/>
      <c r="M199" s="783"/>
      <c r="N199" s="783"/>
      <c r="O199" s="783"/>
      <c r="S199" s="693"/>
    </row>
    <row r="200" spans="1:19" ht="15" customHeight="1" x14ac:dyDescent="0.2">
      <c r="B200" s="1124" t="s">
        <v>945</v>
      </c>
      <c r="C200" s="1124"/>
      <c r="D200" s="1124"/>
      <c r="E200" s="1124"/>
      <c r="F200" s="1124"/>
      <c r="G200" s="1124"/>
      <c r="H200" s="1124"/>
      <c r="I200" s="1124"/>
      <c r="J200" s="1124"/>
      <c r="K200" s="1124"/>
      <c r="L200" s="1124"/>
      <c r="M200" s="1124"/>
      <c r="N200" s="1124"/>
      <c r="O200" s="1124"/>
      <c r="S200" s="693"/>
    </row>
    <row r="201" spans="1:19" ht="15" customHeight="1" x14ac:dyDescent="0.2">
      <c r="B201" s="1132" t="s">
        <v>946</v>
      </c>
      <c r="C201" s="1132"/>
      <c r="D201" s="1132"/>
      <c r="E201" s="1132"/>
      <c r="F201" s="1132"/>
      <c r="G201" s="1132"/>
      <c r="H201" s="1132"/>
      <c r="I201" s="1132"/>
      <c r="J201" s="1132"/>
      <c r="K201" s="1132"/>
      <c r="L201" s="1132"/>
      <c r="M201" s="1132"/>
      <c r="N201" s="1132"/>
      <c r="O201" s="1132"/>
      <c r="S201" s="693"/>
    </row>
    <row r="202" spans="1:19" ht="15" customHeight="1" x14ac:dyDescent="0.2">
      <c r="B202" s="1121"/>
      <c r="C202" s="1121"/>
      <c r="D202" s="1121"/>
      <c r="E202" s="1121"/>
      <c r="F202" s="1121"/>
      <c r="G202" s="1121"/>
      <c r="H202" s="1121"/>
      <c r="I202" s="1121"/>
      <c r="J202" s="1121"/>
      <c r="K202" s="1121"/>
      <c r="L202" s="1121"/>
      <c r="M202" s="1121"/>
      <c r="N202" s="1121"/>
      <c r="O202" s="1121"/>
      <c r="S202" s="693"/>
    </row>
    <row r="203" spans="1:19" ht="15" customHeight="1" x14ac:dyDescent="0.2">
      <c r="B203" s="1121"/>
      <c r="C203" s="1121"/>
      <c r="D203" s="1121"/>
      <c r="E203" s="1121"/>
      <c r="F203" s="1121"/>
      <c r="G203" s="1121"/>
      <c r="H203" s="1121"/>
      <c r="I203" s="1121"/>
      <c r="J203" s="1121"/>
      <c r="K203" s="1121"/>
      <c r="L203" s="1121"/>
      <c r="M203" s="1121"/>
      <c r="N203" s="1121"/>
      <c r="O203" s="1121"/>
      <c r="S203" s="693"/>
    </row>
    <row r="204" spans="1:19" ht="15" customHeight="1" x14ac:dyDescent="0.2">
      <c r="B204" s="1121"/>
      <c r="C204" s="1121"/>
      <c r="D204" s="1121"/>
      <c r="E204" s="1121"/>
      <c r="F204" s="1121"/>
      <c r="G204" s="1121"/>
      <c r="H204" s="1121"/>
      <c r="I204" s="1121"/>
      <c r="J204" s="1121"/>
      <c r="K204" s="1121"/>
      <c r="L204" s="1121"/>
      <c r="M204" s="1121"/>
      <c r="N204" s="1121"/>
      <c r="O204" s="1121"/>
      <c r="S204" s="693"/>
    </row>
    <row r="205" spans="1:19" ht="15" customHeight="1" x14ac:dyDescent="0.2">
      <c r="B205" s="1121"/>
      <c r="C205" s="1121"/>
      <c r="D205" s="1121"/>
      <c r="E205" s="1121"/>
      <c r="F205" s="1121"/>
      <c r="G205" s="1121"/>
      <c r="H205" s="1121"/>
      <c r="I205" s="1121"/>
      <c r="J205" s="1121"/>
      <c r="K205" s="1121"/>
      <c r="L205" s="1121"/>
      <c r="M205" s="1121"/>
      <c r="N205" s="1121"/>
      <c r="O205" s="1121"/>
      <c r="S205" s="693"/>
    </row>
    <row r="206" spans="1:19" ht="15" customHeight="1" x14ac:dyDescent="0.15">
      <c r="J206" s="690"/>
      <c r="M206" s="690"/>
      <c r="O206" s="690"/>
      <c r="S206" s="693"/>
    </row>
    <row r="207" spans="1:19" x14ac:dyDescent="0.15">
      <c r="J207" s="690"/>
      <c r="M207" s="690"/>
      <c r="O207" s="690"/>
      <c r="S207" s="693"/>
    </row>
    <row r="208" spans="1:19" x14ac:dyDescent="0.15">
      <c r="G208" s="675"/>
      <c r="S208" s="693"/>
    </row>
    <row r="209" spans="2:19" x14ac:dyDescent="0.15">
      <c r="G209" s="675"/>
      <c r="S209" s="693"/>
    </row>
    <row r="210" spans="2:19" ht="15" customHeight="1" x14ac:dyDescent="0.15">
      <c r="G210" s="675"/>
      <c r="S210" s="693"/>
    </row>
    <row r="211" spans="2:19" ht="15" customHeight="1" x14ac:dyDescent="0.15">
      <c r="G211" s="675"/>
      <c r="S211" s="693"/>
    </row>
    <row r="212" spans="2:19" ht="15" customHeight="1" x14ac:dyDescent="0.15">
      <c r="G212" s="675"/>
      <c r="S212" s="693"/>
    </row>
    <row r="213" spans="2:19" ht="15" customHeight="1" x14ac:dyDescent="0.15">
      <c r="G213" s="675"/>
      <c r="S213" s="693"/>
    </row>
    <row r="214" spans="2:19" ht="15" customHeight="1" x14ac:dyDescent="0.15">
      <c r="G214" s="675"/>
      <c r="S214" s="693"/>
    </row>
    <row r="215" spans="2:19" ht="15" customHeight="1" x14ac:dyDescent="0.15">
      <c r="G215" s="675"/>
      <c r="S215" s="693"/>
    </row>
    <row r="216" spans="2:19" ht="15" customHeight="1" x14ac:dyDescent="0.15">
      <c r="G216" s="675"/>
      <c r="S216" s="693"/>
    </row>
    <row r="217" spans="2:19" ht="15" customHeight="1" x14ac:dyDescent="0.15">
      <c r="B217" s="786"/>
      <c r="C217" s="786"/>
      <c r="D217" s="786"/>
      <c r="E217" s="786"/>
      <c r="F217" s="786"/>
      <c r="G217" s="786"/>
      <c r="S217" s="693"/>
    </row>
    <row r="218" spans="2:19" ht="15" customHeight="1" x14ac:dyDescent="0.15">
      <c r="S218" s="693"/>
    </row>
    <row r="219" spans="2:19" ht="15" customHeight="1" x14ac:dyDescent="0.15">
      <c r="S219" s="693"/>
    </row>
    <row r="220" spans="2:19" ht="15" customHeight="1" x14ac:dyDescent="0.15">
      <c r="S220" s="693"/>
    </row>
    <row r="221" spans="2:19" ht="15" customHeight="1" x14ac:dyDescent="0.15">
      <c r="S221" s="693"/>
    </row>
    <row r="222" spans="2:19" ht="15" customHeight="1" x14ac:dyDescent="0.15">
      <c r="S222" s="693"/>
    </row>
    <row r="223" spans="2:19" ht="15" customHeight="1" x14ac:dyDescent="0.15">
      <c r="S223" s="693"/>
    </row>
    <row r="224" spans="2:19" ht="15" customHeight="1" x14ac:dyDescent="0.15">
      <c r="S224" s="693"/>
    </row>
    <row r="225" spans="19:19" ht="15" customHeight="1" x14ac:dyDescent="0.15">
      <c r="S225" s="693"/>
    </row>
    <row r="226" spans="19:19" ht="15" customHeight="1" x14ac:dyDescent="0.15">
      <c r="S226" s="693"/>
    </row>
    <row r="227" spans="19:19" ht="15" customHeight="1" x14ac:dyDescent="0.15">
      <c r="S227" s="693"/>
    </row>
    <row r="228" spans="19:19" ht="15" customHeight="1" x14ac:dyDescent="0.15">
      <c r="S228" s="693"/>
    </row>
    <row r="229" spans="19:19" ht="15" customHeight="1" x14ac:dyDescent="0.15">
      <c r="S229" s="693"/>
    </row>
    <row r="230" spans="19:19" ht="15" customHeight="1" x14ac:dyDescent="0.15">
      <c r="S230" s="693"/>
    </row>
    <row r="231" spans="19:19" ht="15" customHeight="1" x14ac:dyDescent="0.15">
      <c r="S231" s="693"/>
    </row>
    <row r="232" spans="19:19" ht="15" customHeight="1" x14ac:dyDescent="0.15">
      <c r="S232" s="693"/>
    </row>
    <row r="233" spans="19:19" ht="15" customHeight="1" x14ac:dyDescent="0.15">
      <c r="S233" s="693"/>
    </row>
    <row r="234" spans="19:19" ht="15" customHeight="1" x14ac:dyDescent="0.15">
      <c r="S234" s="693"/>
    </row>
    <row r="235" spans="19:19" ht="15" customHeight="1" x14ac:dyDescent="0.15">
      <c r="S235" s="693"/>
    </row>
    <row r="236" spans="19:19" ht="15" customHeight="1" x14ac:dyDescent="0.15">
      <c r="S236" s="693"/>
    </row>
    <row r="237" spans="19:19" ht="15" customHeight="1" x14ac:dyDescent="0.15">
      <c r="S237" s="693"/>
    </row>
    <row r="238" spans="19:19" ht="15" customHeight="1" x14ac:dyDescent="0.15">
      <c r="S238" s="693"/>
    </row>
    <row r="239" spans="19:19" ht="15" customHeight="1" x14ac:dyDescent="0.15">
      <c r="S239" s="693"/>
    </row>
    <row r="240" spans="19:19" ht="15" customHeight="1" x14ac:dyDescent="0.15">
      <c r="S240" s="693"/>
    </row>
    <row r="241" spans="19:19" ht="15" customHeight="1" x14ac:dyDescent="0.15">
      <c r="S241" s="693"/>
    </row>
    <row r="242" spans="19:19" ht="15" customHeight="1" x14ac:dyDescent="0.15">
      <c r="S242" s="693"/>
    </row>
    <row r="243" spans="19:19" ht="15" customHeight="1" x14ac:dyDescent="0.15">
      <c r="S243" s="693"/>
    </row>
    <row r="244" spans="19:19" ht="15" customHeight="1" x14ac:dyDescent="0.15">
      <c r="S244" s="693"/>
    </row>
    <row r="245" spans="19:19" ht="15" customHeight="1" x14ac:dyDescent="0.15">
      <c r="S245" s="693"/>
    </row>
    <row r="246" spans="19:19" ht="15" customHeight="1" x14ac:dyDescent="0.15">
      <c r="S246" s="693"/>
    </row>
    <row r="247" spans="19:19" ht="15" customHeight="1" x14ac:dyDescent="0.15">
      <c r="S247" s="693"/>
    </row>
    <row r="248" spans="19:19" ht="15" customHeight="1" x14ac:dyDescent="0.15">
      <c r="S248" s="693"/>
    </row>
    <row r="249" spans="19:19" ht="15" customHeight="1" x14ac:dyDescent="0.15">
      <c r="S249" s="693"/>
    </row>
    <row r="250" spans="19:19" ht="15" customHeight="1" x14ac:dyDescent="0.15">
      <c r="S250" s="693"/>
    </row>
    <row r="251" spans="19:19" ht="15" customHeight="1" x14ac:dyDescent="0.15">
      <c r="S251" s="693"/>
    </row>
    <row r="252" spans="19:19" ht="15" customHeight="1" x14ac:dyDescent="0.15">
      <c r="S252" s="693"/>
    </row>
    <row r="253" spans="19:19" ht="15" customHeight="1" x14ac:dyDescent="0.15">
      <c r="S253" s="693"/>
    </row>
    <row r="254" spans="19:19" ht="15" customHeight="1" x14ac:dyDescent="0.15">
      <c r="S254" s="693"/>
    </row>
    <row r="255" spans="19:19" ht="15" customHeight="1" x14ac:dyDescent="0.15">
      <c r="S255" s="693"/>
    </row>
    <row r="256" spans="19:19" ht="15" customHeight="1" x14ac:dyDescent="0.15">
      <c r="S256" s="693"/>
    </row>
    <row r="257" spans="19:19" ht="15" customHeight="1" x14ac:dyDescent="0.15">
      <c r="S257" s="693"/>
    </row>
    <row r="258" spans="19:19" ht="15" customHeight="1" x14ac:dyDescent="0.15">
      <c r="S258" s="693"/>
    </row>
    <row r="259" spans="19:19" ht="15" customHeight="1" x14ac:dyDescent="0.15">
      <c r="S259" s="693"/>
    </row>
    <row r="260" spans="19:19" ht="15" customHeight="1" x14ac:dyDescent="0.15">
      <c r="S260" s="693"/>
    </row>
    <row r="261" spans="19:19" ht="15" customHeight="1" x14ac:dyDescent="0.15">
      <c r="S261" s="693"/>
    </row>
    <row r="262" spans="19:19" ht="15" customHeight="1" x14ac:dyDescent="0.15">
      <c r="S262" s="693"/>
    </row>
    <row r="263" spans="19:19" ht="15" customHeight="1" x14ac:dyDescent="0.15">
      <c r="S263" s="693"/>
    </row>
    <row r="264" spans="19:19" ht="15" customHeight="1" x14ac:dyDescent="0.15">
      <c r="S264" s="693"/>
    </row>
    <row r="265" spans="19:19" ht="15" customHeight="1" x14ac:dyDescent="0.15">
      <c r="S265" s="693"/>
    </row>
    <row r="266" spans="19:19" ht="15" customHeight="1" x14ac:dyDescent="0.15">
      <c r="S266" s="693"/>
    </row>
    <row r="267" spans="19:19" ht="15" customHeight="1" x14ac:dyDescent="0.15">
      <c r="S267" s="693"/>
    </row>
    <row r="268" spans="19:19" ht="15" customHeight="1" x14ac:dyDescent="0.15">
      <c r="S268" s="693"/>
    </row>
    <row r="269" spans="19:19" ht="15" customHeight="1" x14ac:dyDescent="0.15">
      <c r="S269" s="693"/>
    </row>
    <row r="270" spans="19:19" ht="15" customHeight="1" x14ac:dyDescent="0.15">
      <c r="S270" s="693"/>
    </row>
    <row r="271" spans="19:19" ht="15" customHeight="1" x14ac:dyDescent="0.15">
      <c r="S271" s="693"/>
    </row>
    <row r="273" spans="19:19" ht="15" customHeight="1" x14ac:dyDescent="0.15">
      <c r="S273" s="693"/>
    </row>
    <row r="274" spans="19:19" ht="15" customHeight="1" x14ac:dyDescent="0.15">
      <c r="S274" s="693"/>
    </row>
    <row r="275" spans="19:19" ht="15" customHeight="1" x14ac:dyDescent="0.15">
      <c r="S275" s="693"/>
    </row>
    <row r="276" spans="19:19" ht="15" customHeight="1" x14ac:dyDescent="0.15">
      <c r="S276" s="693"/>
    </row>
    <row r="277" spans="19:19" ht="15" customHeight="1" x14ac:dyDescent="0.15">
      <c r="S277" s="693"/>
    </row>
    <row r="278" spans="19:19" ht="15" customHeight="1" x14ac:dyDescent="0.15">
      <c r="S278" s="693"/>
    </row>
    <row r="279" spans="19:19" ht="15" customHeight="1" x14ac:dyDescent="0.15">
      <c r="S279" s="693"/>
    </row>
    <row r="280" spans="19:19" ht="15" customHeight="1" x14ac:dyDescent="0.15">
      <c r="S280" s="693"/>
    </row>
    <row r="281" spans="19:19" ht="15" customHeight="1" x14ac:dyDescent="0.15">
      <c r="S281" s="693"/>
    </row>
    <row r="282" spans="19:19" ht="15" customHeight="1" x14ac:dyDescent="0.15">
      <c r="S282" s="693"/>
    </row>
    <row r="283" spans="19:19" ht="15" customHeight="1" x14ac:dyDescent="0.15">
      <c r="S283" s="693"/>
    </row>
    <row r="284" spans="19:19" ht="15" customHeight="1" x14ac:dyDescent="0.15">
      <c r="S284" s="693"/>
    </row>
    <row r="285" spans="19:19" ht="15" customHeight="1" x14ac:dyDescent="0.15">
      <c r="S285" s="693"/>
    </row>
    <row r="286" spans="19:19" ht="15" customHeight="1" x14ac:dyDescent="0.15">
      <c r="S286" s="693"/>
    </row>
    <row r="287" spans="19:19" ht="15" customHeight="1" x14ac:dyDescent="0.15">
      <c r="S287" s="693"/>
    </row>
    <row r="288" spans="19:19" ht="15" customHeight="1" x14ac:dyDescent="0.15">
      <c r="S288" s="693"/>
    </row>
    <row r="289" spans="19:19" ht="15" customHeight="1" x14ac:dyDescent="0.15">
      <c r="S289" s="693"/>
    </row>
    <row r="290" spans="19:19" ht="15" customHeight="1" x14ac:dyDescent="0.15">
      <c r="S290" s="693"/>
    </row>
    <row r="291" spans="19:19" ht="15" customHeight="1" x14ac:dyDescent="0.15">
      <c r="S291" s="693"/>
    </row>
    <row r="292" spans="19:19" ht="15" customHeight="1" x14ac:dyDescent="0.15">
      <c r="S292" s="693"/>
    </row>
    <row r="293" spans="19:19" ht="15" customHeight="1" x14ac:dyDescent="0.15">
      <c r="S293" s="693"/>
    </row>
    <row r="294" spans="19:19" ht="15" customHeight="1" x14ac:dyDescent="0.15">
      <c r="S294" s="693"/>
    </row>
    <row r="295" spans="19:19" ht="15" customHeight="1" x14ac:dyDescent="0.15">
      <c r="S295" s="693"/>
    </row>
    <row r="296" spans="19:19" ht="15" customHeight="1" x14ac:dyDescent="0.15">
      <c r="S296" s="693"/>
    </row>
    <row r="297" spans="19:19" ht="15" customHeight="1" x14ac:dyDescent="0.15">
      <c r="S297" s="693"/>
    </row>
    <row r="298" spans="19:19" ht="15" customHeight="1" x14ac:dyDescent="0.15">
      <c r="S298" s="693"/>
    </row>
    <row r="299" spans="19:19" ht="15" customHeight="1" x14ac:dyDescent="0.15">
      <c r="S299" s="693"/>
    </row>
    <row r="300" spans="19:19" ht="15" customHeight="1" x14ac:dyDescent="0.15">
      <c r="S300" s="693"/>
    </row>
    <row r="301" spans="19:19" ht="15" customHeight="1" x14ac:dyDescent="0.15">
      <c r="S301" s="693"/>
    </row>
    <row r="302" spans="19:19" ht="15" customHeight="1" x14ac:dyDescent="0.15">
      <c r="S302" s="693"/>
    </row>
    <row r="303" spans="19:19" ht="15" customHeight="1" x14ac:dyDescent="0.15">
      <c r="S303" s="693"/>
    </row>
    <row r="304" spans="19:19" ht="15" customHeight="1" x14ac:dyDescent="0.15">
      <c r="S304" s="693"/>
    </row>
    <row r="305" spans="19:19" ht="15" customHeight="1" x14ac:dyDescent="0.15">
      <c r="S305" s="693"/>
    </row>
    <row r="306" spans="19:19" ht="15" customHeight="1" x14ac:dyDescent="0.15">
      <c r="S306" s="693"/>
    </row>
    <row r="307" spans="19:19" ht="15" customHeight="1" x14ac:dyDescent="0.15">
      <c r="S307" s="693"/>
    </row>
    <row r="308" spans="19:19" ht="15" customHeight="1" x14ac:dyDescent="0.15">
      <c r="S308" s="693"/>
    </row>
    <row r="309" spans="19:19" ht="15" customHeight="1" x14ac:dyDescent="0.15">
      <c r="S309" s="693"/>
    </row>
    <row r="310" spans="19:19" ht="15" customHeight="1" x14ac:dyDescent="0.15">
      <c r="S310" s="693"/>
    </row>
  </sheetData>
  <protectedRanges>
    <protectedRange sqref="C2:D4 B2:B6 C8:G8 N7 F2:G4 C6:D7 F6:G6 F5 F7" name="Estimating_1" securityDescriptor="O:WDG:WDD:(A;;CC;;;S-1-5-21-1993962763-879983540-839522115-1221)"/>
    <protectedRange sqref="D9" name="Estimating_1_1" securityDescriptor="O:WDG:WDD:(A;;CC;;;S-1-5-21-1993962763-879983540-839522115-1221)"/>
    <protectedRange sqref="F200:F205 B200:B204 K205:O205" name="Full" securityDescriptor="O:WDG:WDD:(A;;CC;;;S-1-5-21-1993962763-879983540-839522115-1156)"/>
    <protectedRange sqref="B205:C205" name="Full_2" securityDescriptor="O:WDG:WDD:(A;;CC;;;S-1-5-21-1993962763-879983540-839522115-1156)"/>
    <protectedRange sqref="D197" name="Estimating_4_1" securityDescriptor="O:WDG:WDD:(A;;CC;;;S-1-5-21-1993962763-879983540-839522115-1221)"/>
    <protectedRange sqref="D193:D194" name="Estimating_7_1"/>
    <protectedRange sqref="D49" name="Estimating_7" securityDescriptor="O:WDG:WDD:(A;;CC;;;S-1-5-21-1993962763-879983540-839522115-1221)"/>
    <protectedRange sqref="E15" name="Estimating_4" securityDescriptor="O:WDG:WDD:(A;;CC;;;S-1-5-21-1993962763-879983540-839522115-1221)"/>
    <protectedRange sqref="C188" name="Estimating_4_2_1_2_1_1_1_1" securityDescriptor="O:WDG:WDD:(A;;CC;;;S-1-5-21-1993962763-879983540-839522115-1221)"/>
    <protectedRange sqref="D195" name="Estimating_7_1_1"/>
    <protectedRange sqref="D196" name="Estimating_7_1_2"/>
    <protectedRange sqref="D23 D40 D57 D74 D91 D108 D125 D142 D159 D176" name="Estimating_6" securityDescriptor="O:WDG:WDD:(A;;CC;;;S-1-5-21-1993962763-879983540-839522115-1221)"/>
    <protectedRange sqref="C5" name="Estimating_1_3" securityDescriptor="O:WDG:WDD:(A;;CC;;;S-1-5-21-1993962763-879983540-839522115-1221)"/>
    <protectedRange sqref="G5" name="Estimating_1_2" securityDescriptor="O:WDG:WDD:(A;;CC;;;S-1-5-21-1993962763-879983540-839522115-1221)"/>
    <protectedRange sqref="G7" name="Estimating_1_4" securityDescriptor="O:WDG:WDD:(A;;CC;;;S-1-5-21-1993962763-879983540-839522115-1221)"/>
    <protectedRange sqref="O7" name="Estimating_1_3_2" securityDescriptor="O:WDG:WDD:(A;;CC;;;S-1-5-21-1993962763-879983540-839522115-1221)"/>
  </protectedRanges>
  <dataConsolidate/>
  <mergeCells count="71">
    <mergeCell ref="C7:D7"/>
    <mergeCell ref="G7:J7"/>
    <mergeCell ref="B1:C1"/>
    <mergeCell ref="C3:D3"/>
    <mergeCell ref="G3:J3"/>
    <mergeCell ref="C5:D5"/>
    <mergeCell ref="G5:J5"/>
    <mergeCell ref="E9:F9"/>
    <mergeCell ref="G9:J9"/>
    <mergeCell ref="E19:F19"/>
    <mergeCell ref="H21:I21"/>
    <mergeCell ref="H22:I22"/>
    <mergeCell ref="H72:I72"/>
    <mergeCell ref="H23:I23"/>
    <mergeCell ref="E35:F35"/>
    <mergeCell ref="E36:F36"/>
    <mergeCell ref="H38:I38"/>
    <mergeCell ref="H39:I39"/>
    <mergeCell ref="H40:I40"/>
    <mergeCell ref="E53:F53"/>
    <mergeCell ref="H55:I55"/>
    <mergeCell ref="H56:I56"/>
    <mergeCell ref="H57:I57"/>
    <mergeCell ref="E70:F70"/>
    <mergeCell ref="H123:I123"/>
    <mergeCell ref="H73:I73"/>
    <mergeCell ref="H74:I74"/>
    <mergeCell ref="E87:F87"/>
    <mergeCell ref="H89:I89"/>
    <mergeCell ref="H90:I90"/>
    <mergeCell ref="H91:I91"/>
    <mergeCell ref="E104:F104"/>
    <mergeCell ref="H106:I106"/>
    <mergeCell ref="H107:I107"/>
    <mergeCell ref="H108:I108"/>
    <mergeCell ref="E121:F121"/>
    <mergeCell ref="D193:F193"/>
    <mergeCell ref="H124:I124"/>
    <mergeCell ref="H125:I125"/>
    <mergeCell ref="B182:G182"/>
    <mergeCell ref="E183:F183"/>
    <mergeCell ref="G183:I183"/>
    <mergeCell ref="E184:F184"/>
    <mergeCell ref="D190:F190"/>
    <mergeCell ref="D189:F189"/>
    <mergeCell ref="E185:F185"/>
    <mergeCell ref="E186:F186"/>
    <mergeCell ref="G186:I186"/>
    <mergeCell ref="E138:F138"/>
    <mergeCell ref="H140:I140"/>
    <mergeCell ref="H141:I141"/>
    <mergeCell ref="H142:I142"/>
    <mergeCell ref="B202:O202"/>
    <mergeCell ref="B203:O203"/>
    <mergeCell ref="B204:O204"/>
    <mergeCell ref="B205:O205"/>
    <mergeCell ref="D194:F194"/>
    <mergeCell ref="D195:E195"/>
    <mergeCell ref="D196:E196"/>
    <mergeCell ref="D197:F197"/>
    <mergeCell ref="B200:O200"/>
    <mergeCell ref="B201:O201"/>
    <mergeCell ref="G190:I190"/>
    <mergeCell ref="H174:I174"/>
    <mergeCell ref="H175:I175"/>
    <mergeCell ref="H176:I176"/>
    <mergeCell ref="E155:F155"/>
    <mergeCell ref="H157:I157"/>
    <mergeCell ref="H158:I158"/>
    <mergeCell ref="H159:I159"/>
    <mergeCell ref="E172:F172"/>
  </mergeCells>
  <conditionalFormatting sqref="B9">
    <cfRule type="containsText" dxfId="1161" priority="758" operator="containsText" text="SELECT">
      <formula>NOT(ISERROR(SEARCH("SELECT",B9)))</formula>
    </cfRule>
    <cfRule type="expression" dxfId="1160" priority="759">
      <formula>B9="CURRENCY"</formula>
    </cfRule>
  </conditionalFormatting>
  <conditionalFormatting sqref="B11">
    <cfRule type="expression" dxfId="1159" priority="718">
      <formula>$B11&lt;&gt;""</formula>
    </cfRule>
  </conditionalFormatting>
  <conditionalFormatting sqref="B14:B23">
    <cfRule type="expression" dxfId="1158" priority="710">
      <formula>$J14&gt;0</formula>
    </cfRule>
  </conditionalFormatting>
  <conditionalFormatting sqref="B24">
    <cfRule type="expression" dxfId="1157" priority="708">
      <formula>($D14="CANOPY TYPE")</formula>
    </cfRule>
    <cfRule type="expression" dxfId="1156" priority="707">
      <formula>ISNUMBER(SEARCH("UV",$D14))</formula>
    </cfRule>
  </conditionalFormatting>
  <conditionalFormatting sqref="B25:B27">
    <cfRule type="expression" dxfId="1155" priority="518">
      <formula>$J25&gt;0</formula>
    </cfRule>
  </conditionalFormatting>
  <conditionalFormatting sqref="B28">
    <cfRule type="expression" dxfId="1154" priority="716">
      <formula>$B28&lt;&gt;""</formula>
    </cfRule>
  </conditionalFormatting>
  <conditionalFormatting sqref="B31:B40">
    <cfRule type="expression" dxfId="1153" priority="275">
      <formula>$J31&gt;0</formula>
    </cfRule>
  </conditionalFormatting>
  <conditionalFormatting sqref="B41">
    <cfRule type="expression" dxfId="1152" priority="675">
      <formula>ISNUMBER(SEARCH("UV",$D31))</formula>
    </cfRule>
    <cfRule type="expression" dxfId="1151" priority="676">
      <formula>($D31="CANOPY TYPE")</formula>
    </cfRule>
  </conditionalFormatting>
  <conditionalFormatting sqref="B42:B44">
    <cfRule type="expression" dxfId="1150" priority="677">
      <formula>$J42&gt;0</formula>
    </cfRule>
  </conditionalFormatting>
  <conditionalFormatting sqref="B45">
    <cfRule type="expression" dxfId="1149" priority="715">
      <formula>$B45&lt;&gt;""</formula>
    </cfRule>
  </conditionalFormatting>
  <conditionalFormatting sqref="B48:B57">
    <cfRule type="expression" dxfId="1148" priority="262">
      <formula>$J48&gt;0</formula>
    </cfRule>
  </conditionalFormatting>
  <conditionalFormatting sqref="B58">
    <cfRule type="expression" dxfId="1147" priority="645">
      <formula>ISNUMBER(SEARCH("UV",$D48))</formula>
    </cfRule>
    <cfRule type="expression" dxfId="1146" priority="646">
      <formula>($D48="CANOPY TYPE")</formula>
    </cfRule>
  </conditionalFormatting>
  <conditionalFormatting sqref="B59:B61">
    <cfRule type="expression" dxfId="1145" priority="517">
      <formula>$J59&gt;0</formula>
    </cfRule>
  </conditionalFormatting>
  <conditionalFormatting sqref="B62">
    <cfRule type="expression" dxfId="1144" priority="714">
      <formula>$B62&lt;&gt;""</formula>
    </cfRule>
  </conditionalFormatting>
  <conditionalFormatting sqref="B65:B74">
    <cfRule type="expression" dxfId="1143" priority="249">
      <formula>$J65&gt;0</formula>
    </cfRule>
  </conditionalFormatting>
  <conditionalFormatting sqref="B75">
    <cfRule type="expression" dxfId="1142" priority="614">
      <formula>ISNUMBER(SEARCH("UV",$D65))</formula>
    </cfRule>
    <cfRule type="expression" dxfId="1141" priority="615">
      <formula>($D65="CANOPY TYPE")</formula>
    </cfRule>
  </conditionalFormatting>
  <conditionalFormatting sqref="B76:B78">
    <cfRule type="expression" dxfId="1140" priority="516">
      <formula>$J76&gt;0</formula>
    </cfRule>
  </conditionalFormatting>
  <conditionalFormatting sqref="B79">
    <cfRule type="expression" dxfId="1139" priority="713">
      <formula>$B79&lt;&gt;""</formula>
    </cfRule>
  </conditionalFormatting>
  <conditionalFormatting sqref="B82:B91">
    <cfRule type="expression" dxfId="1138" priority="236">
      <formula>$J82&gt;0</formula>
    </cfRule>
  </conditionalFormatting>
  <conditionalFormatting sqref="B92">
    <cfRule type="expression" dxfId="1137" priority="582">
      <formula>ISNUMBER(SEARCH("UV",$D82))</formula>
    </cfRule>
    <cfRule type="expression" dxfId="1136" priority="583">
      <formula>($D82="CANOPY TYPE")</formula>
    </cfRule>
  </conditionalFormatting>
  <conditionalFormatting sqref="B93:B95">
    <cfRule type="expression" dxfId="1135" priority="515">
      <formula>$J93&gt;0</formula>
    </cfRule>
  </conditionalFormatting>
  <conditionalFormatting sqref="B96">
    <cfRule type="expression" dxfId="1134" priority="712">
      <formula>$B96&lt;&gt;""</formula>
    </cfRule>
  </conditionalFormatting>
  <conditionalFormatting sqref="B99:B108">
    <cfRule type="expression" dxfId="1133" priority="223">
      <formula>$J99&gt;0</formula>
    </cfRule>
  </conditionalFormatting>
  <conditionalFormatting sqref="B109">
    <cfRule type="expression" dxfId="1132" priority="552">
      <formula>($D99="CANOPY TYPE")</formula>
    </cfRule>
    <cfRule type="expression" dxfId="1131" priority="551">
      <formula>ISNUMBER(SEARCH("UV",$D99))</formula>
    </cfRule>
  </conditionalFormatting>
  <conditionalFormatting sqref="B110:B112 B127:B129 B161:B163 B178:B180">
    <cfRule type="expression" dxfId="1130" priority="514">
      <formula>$J110&gt;0</formula>
    </cfRule>
  </conditionalFormatting>
  <conditionalFormatting sqref="B113">
    <cfRule type="expression" dxfId="1129" priority="351">
      <formula>$B113&lt;&gt;""</formula>
    </cfRule>
  </conditionalFormatting>
  <conditionalFormatting sqref="B116:B125">
    <cfRule type="expression" dxfId="1128" priority="210">
      <formula>$J116&gt;0</formula>
    </cfRule>
  </conditionalFormatting>
  <conditionalFormatting sqref="B126">
    <cfRule type="expression" dxfId="1127" priority="324">
      <formula>($D116="CANOPY TYPE")</formula>
    </cfRule>
    <cfRule type="expression" dxfId="1126" priority="323">
      <formula>ISNUMBER(SEARCH("UV",$D116))</formula>
    </cfRule>
  </conditionalFormatting>
  <conditionalFormatting sqref="B130">
    <cfRule type="expression" dxfId="1125" priority="189">
      <formula>$B130&lt;&gt;""</formula>
    </cfRule>
  </conditionalFormatting>
  <conditionalFormatting sqref="B133:B142">
    <cfRule type="expression" dxfId="1124" priority="21">
      <formula>$J133&gt;0</formula>
    </cfRule>
  </conditionalFormatting>
  <conditionalFormatting sqref="B143">
    <cfRule type="expression" dxfId="1123" priority="159">
      <formula>ISNUMBER(SEARCH("UV",$D133))</formula>
    </cfRule>
    <cfRule type="expression" dxfId="1122" priority="160">
      <formula>($D133="CANOPY TYPE")</formula>
    </cfRule>
  </conditionalFormatting>
  <conditionalFormatting sqref="B144:B146">
    <cfRule type="expression" dxfId="1121" priority="118">
      <formula>$J144&gt;0</formula>
    </cfRule>
  </conditionalFormatting>
  <conditionalFormatting sqref="B147">
    <cfRule type="expression" dxfId="1120" priority="188">
      <formula>$B147&lt;&gt;""</formula>
    </cfRule>
  </conditionalFormatting>
  <conditionalFormatting sqref="B150:B159">
    <cfRule type="expression" dxfId="1119" priority="10">
      <formula>$J150&gt;0</formula>
    </cfRule>
  </conditionalFormatting>
  <conditionalFormatting sqref="B160">
    <cfRule type="expression" dxfId="1118" priority="131">
      <formula>($D150="CANOPY TYPE")</formula>
    </cfRule>
    <cfRule type="expression" dxfId="1117" priority="130">
      <formula>ISNUMBER(SEARCH("UV",$D150))</formula>
    </cfRule>
  </conditionalFormatting>
  <conditionalFormatting sqref="B164">
    <cfRule type="expression" dxfId="1116" priority="81">
      <formula>$B164&lt;&gt;""</formula>
    </cfRule>
  </conditionalFormatting>
  <conditionalFormatting sqref="B167:B176">
    <cfRule type="expression" dxfId="1115" priority="5">
      <formula>$J167&gt;0</formula>
    </cfRule>
  </conditionalFormatting>
  <conditionalFormatting sqref="B177">
    <cfRule type="expression" dxfId="1114" priority="54">
      <formula>ISNUMBER(SEARCH("UV",$D167))</formula>
    </cfRule>
    <cfRule type="expression" dxfId="1113" priority="55">
      <formula>($D167="CANOPY TYPE")</formula>
    </cfRule>
  </conditionalFormatting>
  <conditionalFormatting sqref="B183:B197">
    <cfRule type="expression" dxfId="1112" priority="709">
      <formula>$C183&gt;0</formula>
    </cfRule>
  </conditionalFormatting>
  <conditionalFormatting sqref="C14">
    <cfRule type="containsText" dxfId="1111" priority="504" operator="containsText" text="CONFIG">
      <formula>NOT(ISERROR(SEARCH("CONFIG",C14)))</formula>
    </cfRule>
  </conditionalFormatting>
  <conditionalFormatting sqref="C15">
    <cfRule type="containsText" dxfId="1110" priority="509" operator="containsText" text="LIGHT SELECTION">
      <formula>NOT(ISERROR(SEARCH("LIGHT SELECTION",C15)))</formula>
    </cfRule>
  </conditionalFormatting>
  <conditionalFormatting sqref="C16:C17">
    <cfRule type="containsText" dxfId="1109" priority="767" operator="containsText" text="ANSUL SELECTION">
      <formula>NOT(ISERROR(SEARCH("ANSUL SELECTION",C16)))</formula>
    </cfRule>
  </conditionalFormatting>
  <conditionalFormatting sqref="C20:C21">
    <cfRule type="cellIs" dxfId="1106" priority="764" operator="lessThan">
      <formula>1</formula>
    </cfRule>
  </conditionalFormatting>
  <conditionalFormatting sqref="C22:C23">
    <cfRule type="expression" dxfId="1105" priority="484">
      <formula>D22="WW PODS"</formula>
    </cfRule>
  </conditionalFormatting>
  <conditionalFormatting sqref="C24">
    <cfRule type="expression" dxfId="1104" priority="782">
      <formula>ISNUMBER(SEARCH("UV",D14))</formula>
    </cfRule>
  </conditionalFormatting>
  <conditionalFormatting sqref="C25">
    <cfRule type="expression" dxfId="1103" priority="744">
      <formula>(ISNUMBER(SEARCH("CMW",D14)))=TRUE</formula>
    </cfRule>
  </conditionalFormatting>
  <conditionalFormatting sqref="C26">
    <cfRule type="expression" dxfId="1102" priority="743">
      <formula>(ISNUMBER(SEARCH("CMW",D14)))=TRUE</formula>
    </cfRule>
  </conditionalFormatting>
  <conditionalFormatting sqref="C27">
    <cfRule type="expression" dxfId="1101" priority="711">
      <formula>(ISNUMBER(SEARCH("CMW",$D14)))=TRUE</formula>
    </cfRule>
  </conditionalFormatting>
  <conditionalFormatting sqref="C31">
    <cfRule type="containsText" dxfId="1100" priority="686" operator="containsText" text="CONFIG">
      <formula>NOT(ISERROR(SEARCH("CONFIG",C31)))</formula>
    </cfRule>
  </conditionalFormatting>
  <conditionalFormatting sqref="C32">
    <cfRule type="containsText" dxfId="1099" priority="511" operator="containsText" text="LIGHT SELECTION">
      <formula>NOT(ISERROR(SEARCH("LIGHT SELECTION",C32)))</formula>
    </cfRule>
  </conditionalFormatting>
  <conditionalFormatting sqref="C33:C34">
    <cfRule type="containsText" dxfId="1098" priority="283" operator="containsText" text="ANSUL SELECTION">
      <formula>NOT(ISERROR(SEARCH("ANSUL SELECTION",C33)))</formula>
    </cfRule>
  </conditionalFormatting>
  <conditionalFormatting sqref="C37:C38">
    <cfRule type="cellIs" dxfId="1095" priority="685" operator="lessThan">
      <formula>1</formula>
    </cfRule>
  </conditionalFormatting>
  <conditionalFormatting sqref="C39:C40">
    <cfRule type="expression" dxfId="1094" priority="462">
      <formula>D39="WW PODS"</formula>
    </cfRule>
  </conditionalFormatting>
  <conditionalFormatting sqref="C41">
    <cfRule type="expression" dxfId="1093" priority="700">
      <formula>ISNUMBER(SEARCH("UV",D31))</formula>
    </cfRule>
  </conditionalFormatting>
  <conditionalFormatting sqref="C42">
    <cfRule type="expression" dxfId="1092" priority="683">
      <formula>(ISNUMBER(SEARCH("CMW",D31)))=TRUE</formula>
    </cfRule>
  </conditionalFormatting>
  <conditionalFormatting sqref="C43">
    <cfRule type="expression" dxfId="1091" priority="543">
      <formula>(ISNUMBER(SEARCH("CMW",D31)))=TRUE</formula>
    </cfRule>
  </conditionalFormatting>
  <conditionalFormatting sqref="C44">
    <cfRule type="expression" dxfId="1090" priority="678">
      <formula>(ISNUMBER(SEARCH("CMW",$D31)))=TRUE</formula>
    </cfRule>
  </conditionalFormatting>
  <conditionalFormatting sqref="C48">
    <cfRule type="containsText" dxfId="1089" priority="655" operator="containsText" text="CONFIG">
      <formula>NOT(ISERROR(SEARCH("CONFIG",C48)))</formula>
    </cfRule>
  </conditionalFormatting>
  <conditionalFormatting sqref="C49">
    <cfRule type="containsText" dxfId="1088" priority="508" operator="containsText" text="LIGHT SELECTION">
      <formula>NOT(ISERROR(SEARCH("LIGHT SELECTION",C49)))</formula>
    </cfRule>
  </conditionalFormatting>
  <conditionalFormatting sqref="C50:C51">
    <cfRule type="containsText" dxfId="1087" priority="270" operator="containsText" text="ANSUL SELECTION">
      <formula>NOT(ISERROR(SEARCH("ANSUL SELECTION",C50)))</formula>
    </cfRule>
  </conditionalFormatting>
  <conditionalFormatting sqref="C54:C55">
    <cfRule type="cellIs" dxfId="1084" priority="654" operator="lessThan">
      <formula>1</formula>
    </cfRule>
  </conditionalFormatting>
  <conditionalFormatting sqref="C56:C57">
    <cfRule type="expression" dxfId="1083" priority="436">
      <formula>D56="WW PODS"</formula>
    </cfRule>
  </conditionalFormatting>
  <conditionalFormatting sqref="C58">
    <cfRule type="expression" dxfId="1082" priority="668">
      <formula>ISNUMBER(SEARCH("UV",D48))</formula>
    </cfRule>
  </conditionalFormatting>
  <conditionalFormatting sqref="C59">
    <cfRule type="expression" dxfId="1081" priority="652">
      <formula>(ISNUMBER(SEARCH("CMW",D48)))=TRUE</formula>
    </cfRule>
  </conditionalFormatting>
  <conditionalFormatting sqref="C60">
    <cfRule type="expression" dxfId="1080" priority="542">
      <formula>(ISNUMBER(SEARCH("CMW",D48)))=TRUE</formula>
    </cfRule>
  </conditionalFormatting>
  <conditionalFormatting sqref="C61">
    <cfRule type="expression" dxfId="1079" priority="647">
      <formula>(ISNUMBER(SEARCH("CMW",$D48)))=TRUE</formula>
    </cfRule>
  </conditionalFormatting>
  <conditionalFormatting sqref="C65">
    <cfRule type="containsText" dxfId="1078" priority="625" operator="containsText" text="CONFIG">
      <formula>NOT(ISERROR(SEARCH("CONFIG",C65)))</formula>
    </cfRule>
  </conditionalFormatting>
  <conditionalFormatting sqref="C66">
    <cfRule type="containsText" dxfId="1077" priority="507" operator="containsText" text="LIGHT SELECTION">
      <formula>NOT(ISERROR(SEARCH("LIGHT SELECTION",C66)))</formula>
    </cfRule>
  </conditionalFormatting>
  <conditionalFormatting sqref="C67:C68">
    <cfRule type="containsText" dxfId="1076" priority="257" operator="containsText" text="ANSUL SELECTION">
      <formula>NOT(ISERROR(SEARCH("ANSUL SELECTION",C67)))</formula>
    </cfRule>
  </conditionalFormatting>
  <conditionalFormatting sqref="C71:C72">
    <cfRule type="cellIs" dxfId="1073" priority="624" operator="lessThan">
      <formula>1</formula>
    </cfRule>
  </conditionalFormatting>
  <conditionalFormatting sqref="C73:C74">
    <cfRule type="expression" dxfId="1072" priority="410">
      <formula>D73="WW PODS"</formula>
    </cfRule>
  </conditionalFormatting>
  <conditionalFormatting sqref="C75">
    <cfRule type="expression" dxfId="1071" priority="638">
      <formula>ISNUMBER(SEARCH("UV",D65))</formula>
    </cfRule>
  </conditionalFormatting>
  <conditionalFormatting sqref="C76">
    <cfRule type="expression" dxfId="1070" priority="621">
      <formula>(ISNUMBER(SEARCH("CMW",D65)))=TRUE</formula>
    </cfRule>
  </conditionalFormatting>
  <conditionalFormatting sqref="C77">
    <cfRule type="expression" dxfId="1069" priority="541">
      <formula>(ISNUMBER(SEARCH("CMW",D65)))=TRUE</formula>
    </cfRule>
  </conditionalFormatting>
  <conditionalFormatting sqref="C78">
    <cfRule type="expression" dxfId="1068" priority="616">
      <formula>(ISNUMBER(SEARCH("CMW",$D65)))=TRUE</formula>
    </cfRule>
  </conditionalFormatting>
  <conditionalFormatting sqref="C82">
    <cfRule type="containsText" dxfId="1067" priority="593" operator="containsText" text="CONFIG">
      <formula>NOT(ISERROR(SEARCH("CONFIG",C82)))</formula>
    </cfRule>
  </conditionalFormatting>
  <conditionalFormatting sqref="C83">
    <cfRule type="containsText" dxfId="1066" priority="506" operator="containsText" text="LIGHT SELECTION">
      <formula>NOT(ISERROR(SEARCH("LIGHT SELECTION",C83)))</formula>
    </cfRule>
  </conditionalFormatting>
  <conditionalFormatting sqref="C84:C85">
    <cfRule type="containsText" dxfId="1065" priority="244" operator="containsText" text="ANSUL SELECTION">
      <formula>NOT(ISERROR(SEARCH("ANSUL SELECTION",C84)))</formula>
    </cfRule>
  </conditionalFormatting>
  <conditionalFormatting sqref="C88:C89">
    <cfRule type="cellIs" dxfId="1062" priority="592" operator="lessThan">
      <formula>1</formula>
    </cfRule>
  </conditionalFormatting>
  <conditionalFormatting sqref="C90:C91">
    <cfRule type="expression" dxfId="1061" priority="384">
      <formula>D90="WW PODS"</formula>
    </cfRule>
  </conditionalFormatting>
  <conditionalFormatting sqref="C92">
    <cfRule type="expression" dxfId="1060" priority="607">
      <formula>ISNUMBER(SEARCH("UV",D82))</formula>
    </cfRule>
  </conditionalFormatting>
  <conditionalFormatting sqref="C93">
    <cfRule type="expression" dxfId="1059" priority="589">
      <formula>(ISNUMBER(SEARCH("CMW",D82)))=TRUE</formula>
    </cfRule>
  </conditionalFormatting>
  <conditionalFormatting sqref="C94">
    <cfRule type="expression" dxfId="1058" priority="540">
      <formula>(ISNUMBER(SEARCH("CMW",D82)))=TRUE</formula>
    </cfRule>
  </conditionalFormatting>
  <conditionalFormatting sqref="C95">
    <cfRule type="expression" dxfId="1057" priority="584">
      <formula>(ISNUMBER(SEARCH("CMW",$D82)))=TRUE</formula>
    </cfRule>
  </conditionalFormatting>
  <conditionalFormatting sqref="C99">
    <cfRule type="containsText" dxfId="1056" priority="561" operator="containsText" text="CONFIG">
      <formula>NOT(ISERROR(SEARCH("CONFIG",C99)))</formula>
    </cfRule>
  </conditionalFormatting>
  <conditionalFormatting sqref="C100">
    <cfRule type="containsText" dxfId="1055" priority="505" operator="containsText" text="LIGHT SELECTION">
      <formula>NOT(ISERROR(SEARCH("LIGHT SELECTION",C100)))</formula>
    </cfRule>
  </conditionalFormatting>
  <conditionalFormatting sqref="C101:C102">
    <cfRule type="containsText" dxfId="1054" priority="231" operator="containsText" text="ANSUL SELECTION">
      <formula>NOT(ISERROR(SEARCH("ANSUL SELECTION",C101)))</formula>
    </cfRule>
  </conditionalFormatting>
  <conditionalFormatting sqref="C105:C106">
    <cfRule type="cellIs" dxfId="1051" priority="560" operator="lessThan">
      <formula>1</formula>
    </cfRule>
  </conditionalFormatting>
  <conditionalFormatting sqref="C107:C108">
    <cfRule type="expression" dxfId="1050" priority="358">
      <formula>D107="WW PODS"</formula>
    </cfRule>
  </conditionalFormatting>
  <conditionalFormatting sqref="C109">
    <cfRule type="expression" dxfId="1049" priority="575">
      <formula>ISNUMBER(SEARCH("UV",D99))</formula>
    </cfRule>
  </conditionalFormatting>
  <conditionalFormatting sqref="C110">
    <cfRule type="expression" dxfId="1048" priority="558">
      <formula>(ISNUMBER(SEARCH("CMW",D99)))=TRUE</formula>
    </cfRule>
  </conditionalFormatting>
  <conditionalFormatting sqref="C111">
    <cfRule type="expression" dxfId="1047" priority="539">
      <formula>(ISNUMBER(SEARCH("CMW",D99)))=TRUE</formula>
    </cfRule>
  </conditionalFormatting>
  <conditionalFormatting sqref="C112 C129 C163 C180">
    <cfRule type="expression" dxfId="1046" priority="553">
      <formula>(ISNUMBER(SEARCH("CMW",$D99)))=TRUE</formula>
    </cfRule>
  </conditionalFormatting>
  <conditionalFormatting sqref="C116">
    <cfRule type="containsText" dxfId="1045" priority="332" operator="containsText" text="CONFIG">
      <formula>NOT(ISERROR(SEARCH("CONFIG",C116)))</formula>
    </cfRule>
  </conditionalFormatting>
  <conditionalFormatting sqref="C117">
    <cfRule type="containsText" dxfId="1044" priority="315" operator="containsText" text="LIGHT SELECTION">
      <formula>NOT(ISERROR(SEARCH("LIGHT SELECTION",C117)))</formula>
    </cfRule>
  </conditionalFormatting>
  <conditionalFormatting sqref="C118:C119">
    <cfRule type="containsText" dxfId="1043" priority="218" operator="containsText" text="ANSUL SELECTION">
      <formula>NOT(ISERROR(SEARCH("ANSUL SELECTION",C118)))</formula>
    </cfRule>
  </conditionalFormatting>
  <conditionalFormatting sqref="C122:C123">
    <cfRule type="cellIs" dxfId="1040" priority="331" operator="lessThan">
      <formula>1</formula>
    </cfRule>
  </conditionalFormatting>
  <conditionalFormatting sqref="C124:C125">
    <cfRule type="expression" dxfId="1039" priority="292">
      <formula>D124="WW PODS"</formula>
    </cfRule>
  </conditionalFormatting>
  <conditionalFormatting sqref="C126">
    <cfRule type="expression" dxfId="1038" priority="346">
      <formula>ISNUMBER(SEARCH("UV",D116))</formula>
    </cfRule>
  </conditionalFormatting>
  <conditionalFormatting sqref="C127">
    <cfRule type="expression" dxfId="1037" priority="329">
      <formula>(ISNUMBER(SEARCH("CMW",D116)))=TRUE</formula>
    </cfRule>
  </conditionalFormatting>
  <conditionalFormatting sqref="C128">
    <cfRule type="expression" dxfId="1036" priority="320">
      <formula>(ISNUMBER(SEARCH("CMW",D116)))=TRUE</formula>
    </cfRule>
  </conditionalFormatting>
  <conditionalFormatting sqref="C133">
    <cfRule type="containsText" dxfId="1035" priority="169" operator="containsText" text="CONFIG">
      <formula>NOT(ISERROR(SEARCH("CONFIG",C133)))</formula>
    </cfRule>
  </conditionalFormatting>
  <conditionalFormatting sqref="C134">
    <cfRule type="containsText" dxfId="1034" priority="117" operator="containsText" text="LIGHT SELECTION">
      <formula>NOT(ISERROR(SEARCH("LIGHT SELECTION",C134)))</formula>
    </cfRule>
  </conditionalFormatting>
  <conditionalFormatting sqref="C135:C136">
    <cfRule type="containsText" dxfId="1033" priority="29" operator="containsText" text="ANSUL SELECTION">
      <formula>NOT(ISERROR(SEARCH("ANSUL SELECTION",C135)))</formula>
    </cfRule>
  </conditionalFormatting>
  <conditionalFormatting sqref="C139:C140">
    <cfRule type="cellIs" dxfId="1030" priority="168" operator="lessThan">
      <formula>1</formula>
    </cfRule>
  </conditionalFormatting>
  <conditionalFormatting sqref="C141:C142">
    <cfRule type="expression" dxfId="1029" priority="99">
      <formula>D141="WW PODS"</formula>
    </cfRule>
  </conditionalFormatting>
  <conditionalFormatting sqref="C143">
    <cfRule type="expression" dxfId="1028" priority="183">
      <formula>ISNUMBER(SEARCH("UV",D133))</formula>
    </cfRule>
  </conditionalFormatting>
  <conditionalFormatting sqref="C144">
    <cfRule type="expression" dxfId="1027" priority="165">
      <formula>(ISNUMBER(SEARCH("CMW",D133)))=TRUE</formula>
    </cfRule>
  </conditionalFormatting>
  <conditionalFormatting sqref="C145">
    <cfRule type="expression" dxfId="1026" priority="128">
      <formula>(ISNUMBER(SEARCH("CMW",D133)))=TRUE</formula>
    </cfRule>
  </conditionalFormatting>
  <conditionalFormatting sqref="C146">
    <cfRule type="expression" dxfId="1025" priority="161">
      <formula>(ISNUMBER(SEARCH("CMW",$D133)))=TRUE</formula>
    </cfRule>
  </conditionalFormatting>
  <conditionalFormatting sqref="C150">
    <cfRule type="containsText" dxfId="1024" priority="138" operator="containsText" text="CONFIG">
      <formula>NOT(ISERROR(SEARCH("CONFIG",C150)))</formula>
    </cfRule>
  </conditionalFormatting>
  <conditionalFormatting sqref="C151">
    <cfRule type="containsText" dxfId="1023" priority="116" operator="containsText" text="LIGHT SELECTION">
      <formula>NOT(ISERROR(SEARCH("LIGHT SELECTION",C151)))</formula>
    </cfRule>
  </conditionalFormatting>
  <conditionalFormatting sqref="C152:C153">
    <cfRule type="containsText" dxfId="1022" priority="18" operator="containsText" text="ANSUL SELECTION">
      <formula>NOT(ISERROR(SEARCH("ANSUL SELECTION",C152)))</formula>
    </cfRule>
  </conditionalFormatting>
  <conditionalFormatting sqref="C156:C157">
    <cfRule type="cellIs" dxfId="1019" priority="137" operator="lessThan">
      <formula>1</formula>
    </cfRule>
  </conditionalFormatting>
  <conditionalFormatting sqref="C158:C159">
    <cfRule type="expression" dxfId="1018" priority="84">
      <formula>D158="WW PODS"</formula>
    </cfRule>
  </conditionalFormatting>
  <conditionalFormatting sqref="C160">
    <cfRule type="expression" dxfId="1017" priority="152">
      <formula>ISNUMBER(SEARCH("UV",D150))</formula>
    </cfRule>
  </conditionalFormatting>
  <conditionalFormatting sqref="C161">
    <cfRule type="expression" dxfId="1016" priority="135">
      <formula>(ISNUMBER(SEARCH("CMW",D150)))=TRUE</formula>
    </cfRule>
  </conditionalFormatting>
  <conditionalFormatting sqref="C162">
    <cfRule type="expression" dxfId="1015" priority="127">
      <formula>(ISNUMBER(SEARCH("CMW",D150)))=TRUE</formula>
    </cfRule>
  </conditionalFormatting>
  <conditionalFormatting sqref="C167">
    <cfRule type="containsText" dxfId="1014" priority="62" operator="containsText" text="CONFIG">
      <formula>NOT(ISERROR(SEARCH("CONFIG",C167)))</formula>
    </cfRule>
  </conditionalFormatting>
  <conditionalFormatting sqref="C168">
    <cfRule type="containsText" dxfId="1013" priority="47" operator="containsText" text="LIGHT SELECTION">
      <formula>NOT(ISERROR(SEARCH("LIGHT SELECTION",C168)))</formula>
    </cfRule>
  </conditionalFormatting>
  <conditionalFormatting sqref="C169:C170">
    <cfRule type="containsText" dxfId="1012" priority="7" operator="containsText" text="ANSUL SELECTION">
      <formula>NOT(ISERROR(SEARCH("ANSUL SELECTION",C169)))</formula>
    </cfRule>
  </conditionalFormatting>
  <conditionalFormatting sqref="C173:C174">
    <cfRule type="cellIs" dxfId="1009" priority="61" operator="lessThan">
      <formula>1</formula>
    </cfRule>
  </conditionalFormatting>
  <conditionalFormatting sqref="C175:C176">
    <cfRule type="expression" dxfId="1008" priority="31">
      <formula>D175="WW PODS"</formula>
    </cfRule>
  </conditionalFormatting>
  <conditionalFormatting sqref="C177">
    <cfRule type="expression" dxfId="1007" priority="76">
      <formula>ISNUMBER(SEARCH("UV",D167))</formula>
    </cfRule>
  </conditionalFormatting>
  <conditionalFormatting sqref="C178">
    <cfRule type="expression" dxfId="1006" priority="59">
      <formula>(ISNUMBER(SEARCH("CMW",D167)))=TRUE</formula>
    </cfRule>
  </conditionalFormatting>
  <conditionalFormatting sqref="C179">
    <cfRule type="expression" dxfId="1005" priority="52">
      <formula>(ISNUMBER(SEARCH("CMW",D167)))=TRUE</formula>
    </cfRule>
  </conditionalFormatting>
  <conditionalFormatting sqref="C183:C184">
    <cfRule type="cellIs" dxfId="1004" priority="766" operator="lessThan">
      <formula>1</formula>
    </cfRule>
  </conditionalFormatting>
  <conditionalFormatting sqref="C185:C186">
    <cfRule type="cellIs" dxfId="1003" priority="755" operator="lessThan">
      <formula>1</formula>
    </cfRule>
  </conditionalFormatting>
  <conditionalFormatting sqref="C187:C197">
    <cfRule type="cellIs" dxfId="1002" priority="286" operator="lessThan">
      <formula>1</formula>
    </cfRule>
  </conditionalFormatting>
  <conditionalFormatting sqref="C9:D9">
    <cfRule type="cellIs" dxfId="1001" priority="757" operator="greaterThan">
      <formula>0</formula>
    </cfRule>
    <cfRule type="cellIs" dxfId="1000" priority="756" operator="lessThan">
      <formula>0</formula>
    </cfRule>
  </conditionalFormatting>
  <conditionalFormatting sqref="D14">
    <cfRule type="containsText" dxfId="999" priority="768" operator="containsText" text="CANOPY TYPE">
      <formula>NOT(ISERROR(SEARCH("CANOPY TYPE",D14)))</formula>
    </cfRule>
  </conditionalFormatting>
  <conditionalFormatting sqref="D15">
    <cfRule type="expression" dxfId="998" priority="500">
      <formula>(C15="LIGHT SELECTION")</formula>
    </cfRule>
  </conditionalFormatting>
  <conditionalFormatting sqref="D18">
    <cfRule type="expression" dxfId="997" priority="720">
      <formula>($C18="SELECT WORKS")</formula>
    </cfRule>
  </conditionalFormatting>
  <conditionalFormatting sqref="D19">
    <cfRule type="expression" dxfId="996" priority="285">
      <formula>$C19="SELECT CLADDING"</formula>
    </cfRule>
  </conditionalFormatting>
  <conditionalFormatting sqref="D22:D23">
    <cfRule type="expression" dxfId="995" priority="483">
      <formula>($D$14="CANOPY TYPE")</formula>
    </cfRule>
  </conditionalFormatting>
  <conditionalFormatting sqref="D24">
    <cfRule type="expression" dxfId="994" priority="781">
      <formula>ISNUMBER(SEARCH("UV",D14))</formula>
    </cfRule>
  </conditionalFormatting>
  <conditionalFormatting sqref="D25">
    <cfRule type="expression" dxfId="993" priority="705">
      <formula>($D$14="CANOPY TYPE")</formula>
    </cfRule>
  </conditionalFormatting>
  <conditionalFormatting sqref="D26">
    <cfRule type="expression" dxfId="992" priority="728">
      <formula>(ISNUMBER(SEARCH("CMW",D14)))=TRUE</formula>
    </cfRule>
  </conditionalFormatting>
  <conditionalFormatting sqref="D31">
    <cfRule type="containsText" dxfId="991" priority="687" operator="containsText" text="CANOPY TYPE">
      <formula>NOT(ISERROR(SEARCH("CANOPY TYPE",D31)))</formula>
    </cfRule>
  </conditionalFormatting>
  <conditionalFormatting sqref="D32">
    <cfRule type="expression" dxfId="990" priority="513">
      <formula>(C32="LIGHT SELECTION")</formula>
    </cfRule>
  </conditionalFormatting>
  <conditionalFormatting sqref="D35">
    <cfRule type="expression" dxfId="989" priority="680">
      <formula>($C35="SELECT WORKS")</formula>
    </cfRule>
  </conditionalFormatting>
  <conditionalFormatting sqref="D36">
    <cfRule type="expression" dxfId="988" priority="492">
      <formula>$C36="SELECT CLADDING"</formula>
    </cfRule>
  </conditionalFormatting>
  <conditionalFormatting sqref="D39:D40">
    <cfRule type="expression" dxfId="987" priority="457">
      <formula>($D$14="CANOPY TYPE")</formula>
    </cfRule>
  </conditionalFormatting>
  <conditionalFormatting sqref="D41">
    <cfRule type="expression" dxfId="986" priority="699">
      <formula>ISNUMBER(SEARCH("UV",D31))</formula>
    </cfRule>
  </conditionalFormatting>
  <conditionalFormatting sqref="D42">
    <cfRule type="expression" dxfId="985" priority="673">
      <formula>($D$14="CANOPY TYPE")</formula>
    </cfRule>
  </conditionalFormatting>
  <conditionalFormatting sqref="D43">
    <cfRule type="expression" dxfId="984" priority="682">
      <formula>(ISNUMBER(SEARCH("CMW",D31)))=TRUE</formula>
    </cfRule>
  </conditionalFormatting>
  <conditionalFormatting sqref="D48">
    <cfRule type="containsText" dxfId="983" priority="495" operator="containsText" text="CANOPY TYPE">
      <formula>NOT(ISERROR(SEARCH("CANOPY TYPE",D48)))</formula>
    </cfRule>
  </conditionalFormatting>
  <conditionalFormatting sqref="D49">
    <cfRule type="expression" dxfId="982" priority="510">
      <formula>(C15="LIGHT SELECTION")</formula>
    </cfRule>
  </conditionalFormatting>
  <conditionalFormatting sqref="D52">
    <cfRule type="expression" dxfId="981" priority="649">
      <formula>($C52="SELECT WORKS")</formula>
    </cfRule>
  </conditionalFormatting>
  <conditionalFormatting sqref="D53">
    <cfRule type="expression" dxfId="980" priority="493">
      <formula>$C53="SELECT CLADDING"</formula>
    </cfRule>
  </conditionalFormatting>
  <conditionalFormatting sqref="D56:D57">
    <cfRule type="expression" dxfId="979" priority="431">
      <formula>($D$14="CANOPY TYPE")</formula>
    </cfRule>
  </conditionalFormatting>
  <conditionalFormatting sqref="D58">
    <cfRule type="expression" dxfId="978" priority="667">
      <formula>ISNUMBER(SEARCH("UV",D48))</formula>
    </cfRule>
  </conditionalFormatting>
  <conditionalFormatting sqref="D59">
    <cfRule type="expression" dxfId="977" priority="643">
      <formula>($D$14="CANOPY TYPE")</formula>
    </cfRule>
  </conditionalFormatting>
  <conditionalFormatting sqref="D60">
    <cfRule type="expression" dxfId="976" priority="651">
      <formula>(ISNUMBER(SEARCH("CMW",D48)))=TRUE</formula>
    </cfRule>
  </conditionalFormatting>
  <conditionalFormatting sqref="D65">
    <cfRule type="containsText" dxfId="975" priority="494" operator="containsText" text="CANOPY TYPE">
      <formula>NOT(ISERROR(SEARCH("CANOPY TYPE",D65)))</formula>
    </cfRule>
  </conditionalFormatting>
  <conditionalFormatting sqref="D66">
    <cfRule type="expression" dxfId="974" priority="503">
      <formula>(C66="LIGHT SELECTION")</formula>
    </cfRule>
  </conditionalFormatting>
  <conditionalFormatting sqref="D69">
    <cfRule type="expression" dxfId="973" priority="618">
      <formula>($C69="SELECT WORKS")</formula>
    </cfRule>
  </conditionalFormatting>
  <conditionalFormatting sqref="D70">
    <cfRule type="expression" dxfId="972" priority="622">
      <formula>$C70="SELECT CLADDING"</formula>
    </cfRule>
  </conditionalFormatting>
  <conditionalFormatting sqref="D73:D74">
    <cfRule type="expression" dxfId="971" priority="405">
      <formula>($D$14="CANOPY TYPE")</formula>
    </cfRule>
  </conditionalFormatting>
  <conditionalFormatting sqref="D75">
    <cfRule type="expression" dxfId="970" priority="637">
      <formula>ISNUMBER(SEARCH("UV",D65))</formula>
    </cfRule>
  </conditionalFormatting>
  <conditionalFormatting sqref="D76">
    <cfRule type="expression" dxfId="969" priority="612">
      <formula>($D$14="CANOPY TYPE")</formula>
    </cfRule>
  </conditionalFormatting>
  <conditionalFormatting sqref="D77">
    <cfRule type="expression" dxfId="968" priority="620">
      <formula>(ISNUMBER(SEARCH("CMW",D65)))=TRUE</formula>
    </cfRule>
  </conditionalFormatting>
  <conditionalFormatting sqref="D82">
    <cfRule type="containsText" dxfId="967" priority="594" operator="containsText" text="CANOPY TYPE">
      <formula>NOT(ISERROR(SEARCH("CANOPY TYPE",D82)))</formula>
    </cfRule>
  </conditionalFormatting>
  <conditionalFormatting sqref="D83">
    <cfRule type="expression" dxfId="966" priority="502">
      <formula>(C83="LIGHT SELECTION")</formula>
    </cfRule>
  </conditionalFormatting>
  <conditionalFormatting sqref="D86">
    <cfRule type="expression" dxfId="965" priority="586">
      <formula>($C86="SELECT WORKS")</formula>
    </cfRule>
  </conditionalFormatting>
  <conditionalFormatting sqref="D87">
    <cfRule type="expression" dxfId="964" priority="590">
      <formula>$C87="SELECT CLADDING"</formula>
    </cfRule>
  </conditionalFormatting>
  <conditionalFormatting sqref="D90:D91">
    <cfRule type="expression" dxfId="963" priority="379">
      <formula>($D$14="CANOPY TYPE")</formula>
    </cfRule>
  </conditionalFormatting>
  <conditionalFormatting sqref="D92">
    <cfRule type="expression" dxfId="962" priority="606">
      <formula>ISNUMBER(SEARCH("UV",D82))</formula>
    </cfRule>
  </conditionalFormatting>
  <conditionalFormatting sqref="D93">
    <cfRule type="expression" dxfId="961" priority="580">
      <formula>($D$14="CANOPY TYPE")</formula>
    </cfRule>
  </conditionalFormatting>
  <conditionalFormatting sqref="D94">
    <cfRule type="expression" dxfId="960" priority="588">
      <formula>(ISNUMBER(SEARCH("CMW",D82)))=TRUE</formula>
    </cfRule>
  </conditionalFormatting>
  <conditionalFormatting sqref="D99">
    <cfRule type="containsText" dxfId="959" priority="562" operator="containsText" text="CANOPY TYPE">
      <formula>NOT(ISERROR(SEARCH("CANOPY TYPE",D99)))</formula>
    </cfRule>
  </conditionalFormatting>
  <conditionalFormatting sqref="D100">
    <cfRule type="expression" dxfId="958" priority="501">
      <formula>(C100="LIGHT SELECTION")</formula>
    </cfRule>
  </conditionalFormatting>
  <conditionalFormatting sqref="D103">
    <cfRule type="expression" dxfId="957" priority="555">
      <formula>($C103="SELECT WORKS")</formula>
    </cfRule>
  </conditionalFormatting>
  <conditionalFormatting sqref="D104">
    <cfRule type="expression" dxfId="956" priority="491">
      <formula>$C104="SELECT CLADDING"</formula>
    </cfRule>
  </conditionalFormatting>
  <conditionalFormatting sqref="D107:D108">
    <cfRule type="expression" dxfId="955" priority="353">
      <formula>($D$14="CANOPY TYPE")</formula>
    </cfRule>
  </conditionalFormatting>
  <conditionalFormatting sqref="D109">
    <cfRule type="expression" dxfId="954" priority="574">
      <formula>ISNUMBER(SEARCH("UV",D99))</formula>
    </cfRule>
  </conditionalFormatting>
  <conditionalFormatting sqref="D110">
    <cfRule type="expression" dxfId="953" priority="549">
      <formula>($D$14="CANOPY TYPE")</formula>
    </cfRule>
  </conditionalFormatting>
  <conditionalFormatting sqref="D111">
    <cfRule type="expression" dxfId="952" priority="557">
      <formula>(ISNUMBER(SEARCH("CMW",D99)))=TRUE</formula>
    </cfRule>
  </conditionalFormatting>
  <conditionalFormatting sqref="D116">
    <cfRule type="containsText" dxfId="951" priority="333" operator="containsText" text="CANOPY TYPE">
      <formula>NOT(ISERROR(SEARCH("CANOPY TYPE",D116)))</formula>
    </cfRule>
  </conditionalFormatting>
  <conditionalFormatting sqref="D117">
    <cfRule type="expression" dxfId="950" priority="314">
      <formula>(C117="LIGHT SELECTION")</formula>
    </cfRule>
  </conditionalFormatting>
  <conditionalFormatting sqref="D120">
    <cfRule type="expression" dxfId="949" priority="326">
      <formula>($C120="SELECT WORKS")</formula>
    </cfRule>
  </conditionalFormatting>
  <conditionalFormatting sqref="D121">
    <cfRule type="expression" dxfId="948" priority="313">
      <formula>$C121="SELECT CLADDING"</formula>
    </cfRule>
  </conditionalFormatting>
  <conditionalFormatting sqref="D124:D125">
    <cfRule type="expression" dxfId="947" priority="287">
      <formula>($D$14="CANOPY TYPE")</formula>
    </cfRule>
  </conditionalFormatting>
  <conditionalFormatting sqref="D126">
    <cfRule type="expression" dxfId="946" priority="345">
      <formula>ISNUMBER(SEARCH("UV",D116))</formula>
    </cfRule>
  </conditionalFormatting>
  <conditionalFormatting sqref="D127">
    <cfRule type="expression" dxfId="945" priority="322">
      <formula>($D$14="CANOPY TYPE")</formula>
    </cfRule>
  </conditionalFormatting>
  <conditionalFormatting sqref="D128">
    <cfRule type="expression" dxfId="944" priority="328">
      <formula>(ISNUMBER(SEARCH("CMW",D116)))=TRUE</formula>
    </cfRule>
  </conditionalFormatting>
  <conditionalFormatting sqref="D133">
    <cfRule type="containsText" dxfId="943" priority="170" operator="containsText" text="CANOPY TYPE">
      <formula>NOT(ISERROR(SEARCH("CANOPY TYPE",D133)))</formula>
    </cfRule>
  </conditionalFormatting>
  <conditionalFormatting sqref="D134">
    <cfRule type="expression" dxfId="942" priority="115">
      <formula>(C134="LIGHT SELECTION")</formula>
    </cfRule>
  </conditionalFormatting>
  <conditionalFormatting sqref="D137">
    <cfRule type="expression" dxfId="941" priority="162">
      <formula>($C137="SELECT WORKS")</formula>
    </cfRule>
  </conditionalFormatting>
  <conditionalFormatting sqref="D138">
    <cfRule type="expression" dxfId="940" priority="166">
      <formula>$C138="SELECT CLADDING"</formula>
    </cfRule>
  </conditionalFormatting>
  <conditionalFormatting sqref="D141:D142">
    <cfRule type="expression" dxfId="939" priority="98">
      <formula>($D$14="CANOPY TYPE")</formula>
    </cfRule>
  </conditionalFormatting>
  <conditionalFormatting sqref="D143">
    <cfRule type="expression" dxfId="938" priority="182">
      <formula>ISNUMBER(SEARCH("UV",D133))</formula>
    </cfRule>
  </conditionalFormatting>
  <conditionalFormatting sqref="D144">
    <cfRule type="expression" dxfId="937" priority="157">
      <formula>($D$14="CANOPY TYPE")</formula>
    </cfRule>
  </conditionalFormatting>
  <conditionalFormatting sqref="D145">
    <cfRule type="expression" dxfId="936" priority="164">
      <formula>(ISNUMBER(SEARCH("CMW",D133)))=TRUE</formula>
    </cfRule>
  </conditionalFormatting>
  <conditionalFormatting sqref="D150">
    <cfRule type="containsText" dxfId="935" priority="139" operator="containsText" text="CANOPY TYPE">
      <formula>NOT(ISERROR(SEARCH("CANOPY TYPE",D150)))</formula>
    </cfRule>
  </conditionalFormatting>
  <conditionalFormatting sqref="D151">
    <cfRule type="expression" dxfId="934" priority="114">
      <formula>(C151="LIGHT SELECTION")</formula>
    </cfRule>
  </conditionalFormatting>
  <conditionalFormatting sqref="D154">
    <cfRule type="expression" dxfId="933" priority="132">
      <formula>($C154="SELECT WORKS")</formula>
    </cfRule>
  </conditionalFormatting>
  <conditionalFormatting sqref="D155">
    <cfRule type="expression" dxfId="932" priority="113">
      <formula>$C155="SELECT CLADDING"</formula>
    </cfRule>
  </conditionalFormatting>
  <conditionalFormatting sqref="D158:D159">
    <cfRule type="expression" dxfId="931" priority="83">
      <formula>($D$14="CANOPY TYPE")</formula>
    </cfRule>
  </conditionalFormatting>
  <conditionalFormatting sqref="D160">
    <cfRule type="expression" dxfId="930" priority="151">
      <formula>ISNUMBER(SEARCH("UV",D150))</formula>
    </cfRule>
  </conditionalFormatting>
  <conditionalFormatting sqref="D161">
    <cfRule type="expression" dxfId="929" priority="129">
      <formula>($D$14="CANOPY TYPE")</formula>
    </cfRule>
  </conditionalFormatting>
  <conditionalFormatting sqref="D162">
    <cfRule type="expression" dxfId="928" priority="134">
      <formula>(ISNUMBER(SEARCH("CMW",D150)))=TRUE</formula>
    </cfRule>
  </conditionalFormatting>
  <conditionalFormatting sqref="D167">
    <cfRule type="containsText" dxfId="927" priority="63" operator="containsText" text="CANOPY TYPE">
      <formula>NOT(ISERROR(SEARCH("CANOPY TYPE",D167)))</formula>
    </cfRule>
  </conditionalFormatting>
  <conditionalFormatting sqref="D168">
    <cfRule type="expression" dxfId="926" priority="46">
      <formula>(C168="LIGHT SELECTION")</formula>
    </cfRule>
  </conditionalFormatting>
  <conditionalFormatting sqref="D171">
    <cfRule type="expression" dxfId="925" priority="56">
      <formula>($C171="SELECT WORKS")</formula>
    </cfRule>
  </conditionalFormatting>
  <conditionalFormatting sqref="D172">
    <cfRule type="expression" dxfId="924" priority="45">
      <formula>$C172="SELECT CLADDING"</formula>
    </cfRule>
  </conditionalFormatting>
  <conditionalFormatting sqref="D175:D176">
    <cfRule type="expression" dxfId="923" priority="30">
      <formula>($D$14="CANOPY TYPE")</formula>
    </cfRule>
  </conditionalFormatting>
  <conditionalFormatting sqref="D177">
    <cfRule type="expression" dxfId="922" priority="75">
      <formula>ISNUMBER(SEARCH("UV",D167))</formula>
    </cfRule>
  </conditionalFormatting>
  <conditionalFormatting sqref="D178">
    <cfRule type="expression" dxfId="921" priority="53">
      <formula>($D$14="CANOPY TYPE")</formula>
    </cfRule>
  </conditionalFormatting>
  <conditionalFormatting sqref="D179">
    <cfRule type="expression" dxfId="920" priority="58">
      <formula>(ISNUMBER(SEARCH("CMW",D167)))=TRUE</formula>
    </cfRule>
  </conditionalFormatting>
  <conditionalFormatting sqref="E12">
    <cfRule type="expression" dxfId="919" priority="779">
      <formula>ISNUMBER(SEARCH("I-MUAP",$D$14))</formula>
    </cfRule>
    <cfRule type="cellIs" dxfId="918" priority="780" operator="greaterThan">
      <formula>2000</formula>
    </cfRule>
    <cfRule type="expression" dxfId="917" priority="778">
      <formula>AND((ISNUMBER(SEARCH("I-MUAP",$D$14))),E12&lt;2500)</formula>
    </cfRule>
  </conditionalFormatting>
  <conditionalFormatting sqref="E15">
    <cfRule type="expression" dxfId="916" priority="498">
      <formula>(C15="LIGHT SELECTION")</formula>
    </cfRule>
  </conditionalFormatting>
  <conditionalFormatting sqref="E17:E18">
    <cfRule type="expression" dxfId="915" priority="719">
      <formula>$C17="SELECT WORKS"</formula>
    </cfRule>
  </conditionalFormatting>
  <conditionalFormatting sqref="E22:E23">
    <cfRule type="expression" dxfId="914" priority="761">
      <formula>D22="FILTER TYPE"</formula>
    </cfRule>
    <cfRule type="expression" dxfId="913" priority="762">
      <formula>D22="KSA"</formula>
    </cfRule>
    <cfRule type="expression" dxfId="912" priority="783">
      <formula>(D14="CANOPY TYPE")</formula>
    </cfRule>
    <cfRule type="expression" dxfId="911" priority="760">
      <formula>D22="WW PODS"</formula>
    </cfRule>
  </conditionalFormatting>
  <conditionalFormatting sqref="E24">
    <cfRule type="containsText" dxfId="910" priority="770" operator="containsText" text="LONG ">
      <formula>NOT(ISERROR(SEARCH("LONG ",E24)))</formula>
    </cfRule>
  </conditionalFormatting>
  <conditionalFormatting sqref="E29">
    <cfRule type="expression" dxfId="909" priority="696">
      <formula>AND((ISNUMBER(SEARCH("I-MUAP",$D$14))),E29&lt;2500)</formula>
    </cfRule>
    <cfRule type="cellIs" dxfId="908" priority="698" operator="greaterThan">
      <formula>2000</formula>
    </cfRule>
    <cfRule type="expression" dxfId="907" priority="697">
      <formula>ISNUMBER(SEARCH("I-MUAP",$D$14))</formula>
    </cfRule>
  </conditionalFormatting>
  <conditionalFormatting sqref="E34">
    <cfRule type="expression" dxfId="906" priority="276">
      <formula>$C34="SELECT WORKS"</formula>
    </cfRule>
  </conditionalFormatting>
  <conditionalFormatting sqref="E39:E40">
    <cfRule type="expression" dxfId="905" priority="470">
      <formula>D39="WW PODS"</formula>
    </cfRule>
    <cfRule type="expression" dxfId="904" priority="472">
      <formula>D39="KSA"</formula>
    </cfRule>
    <cfRule type="expression" dxfId="903" priority="473">
      <formula>(D31="CANOPY TYPE")</formula>
    </cfRule>
    <cfRule type="expression" dxfId="902" priority="471">
      <formula>D39="FILTER TYPE"</formula>
    </cfRule>
  </conditionalFormatting>
  <conditionalFormatting sqref="E41">
    <cfRule type="containsText" dxfId="901" priority="689" operator="containsText" text="LONG ">
      <formula>NOT(ISERROR(SEARCH("LONG ",E41)))</formula>
    </cfRule>
  </conditionalFormatting>
  <conditionalFormatting sqref="E46">
    <cfRule type="expression" dxfId="900" priority="664">
      <formula>AND((ISNUMBER(SEARCH("I-MUAP",$D$14))),E46&lt;2500)</formula>
    </cfRule>
    <cfRule type="expression" dxfId="899" priority="665">
      <formula>ISNUMBER(SEARCH("I-MUAP",$D$14))</formula>
    </cfRule>
    <cfRule type="cellIs" dxfId="898" priority="666" operator="greaterThan">
      <formula>2000</formula>
    </cfRule>
  </conditionalFormatting>
  <conditionalFormatting sqref="E49">
    <cfRule type="expression" dxfId="897" priority="512">
      <formula>(C49="LIGHT SELECTION")</formula>
    </cfRule>
  </conditionalFormatting>
  <conditionalFormatting sqref="E51:E52">
    <cfRule type="expression" dxfId="896" priority="263">
      <formula>$C51="SELECT WORKS"</formula>
    </cfRule>
  </conditionalFormatting>
  <conditionalFormatting sqref="E56:E57">
    <cfRule type="expression" dxfId="895" priority="445">
      <formula>D56="FILTER TYPE"</formula>
    </cfRule>
    <cfRule type="expression" dxfId="894" priority="446">
      <formula>D56="KSA"</formula>
    </cfRule>
    <cfRule type="expression" dxfId="893" priority="444">
      <formula>D56="WW PODS"</formula>
    </cfRule>
    <cfRule type="expression" dxfId="892" priority="447">
      <formula>(D48="CANOPY TYPE")</formula>
    </cfRule>
  </conditionalFormatting>
  <conditionalFormatting sqref="E58">
    <cfRule type="containsText" dxfId="891" priority="657" operator="containsText" text="LONG ">
      <formula>NOT(ISERROR(SEARCH("LONG ",E58)))</formula>
    </cfRule>
  </conditionalFormatting>
  <conditionalFormatting sqref="E63">
    <cfRule type="cellIs" dxfId="890" priority="636" operator="greaterThan">
      <formula>2000</formula>
    </cfRule>
    <cfRule type="expression" dxfId="889" priority="635">
      <formula>ISNUMBER(SEARCH("I-MUAP",$D$14))</formula>
    </cfRule>
    <cfRule type="expression" dxfId="888" priority="634">
      <formula>AND((ISNUMBER(SEARCH("I-MUAP",$D$14))),E63&lt;2500)</formula>
    </cfRule>
  </conditionalFormatting>
  <conditionalFormatting sqref="E68:E69">
    <cfRule type="expression" dxfId="887" priority="250">
      <formula>$C68="SELECT WORKS"</formula>
    </cfRule>
  </conditionalFormatting>
  <conditionalFormatting sqref="E73:E74">
    <cfRule type="expression" dxfId="886" priority="418">
      <formula>D73="WW PODS"</formula>
    </cfRule>
    <cfRule type="expression" dxfId="885" priority="421">
      <formula>(D65="CANOPY TYPE")</formula>
    </cfRule>
    <cfRule type="expression" dxfId="884" priority="419">
      <formula>D73="FILTER TYPE"</formula>
    </cfRule>
    <cfRule type="expression" dxfId="883" priority="420">
      <formula>D73="KSA"</formula>
    </cfRule>
  </conditionalFormatting>
  <conditionalFormatting sqref="E75">
    <cfRule type="containsText" dxfId="882" priority="627" operator="containsText" text="LONG ">
      <formula>NOT(ISERROR(SEARCH("LONG ",E75)))</formula>
    </cfRule>
  </conditionalFormatting>
  <conditionalFormatting sqref="E80">
    <cfRule type="cellIs" dxfId="881" priority="605" operator="greaterThan">
      <formula>2000</formula>
    </cfRule>
    <cfRule type="expression" dxfId="880" priority="604">
      <formula>ISNUMBER(SEARCH("I-MUAP",$D$14))</formula>
    </cfRule>
    <cfRule type="expression" dxfId="879" priority="603">
      <formula>AND((ISNUMBER(SEARCH("I-MUAP",$D$14))),E80&lt;2500)</formula>
    </cfRule>
  </conditionalFormatting>
  <conditionalFormatting sqref="E85:E86">
    <cfRule type="expression" dxfId="878" priority="237">
      <formula>$C85="SELECT WORKS"</formula>
    </cfRule>
  </conditionalFormatting>
  <conditionalFormatting sqref="E90:E91">
    <cfRule type="expression" dxfId="877" priority="392">
      <formula>D90="WW PODS"</formula>
    </cfRule>
    <cfRule type="expression" dxfId="876" priority="394">
      <formula>D90="KSA"</formula>
    </cfRule>
    <cfRule type="expression" dxfId="875" priority="395">
      <formula>(D82="CANOPY TYPE")</formula>
    </cfRule>
    <cfRule type="expression" dxfId="874" priority="393">
      <formula>D90="FILTER TYPE"</formula>
    </cfRule>
  </conditionalFormatting>
  <conditionalFormatting sqref="E92">
    <cfRule type="containsText" dxfId="873" priority="596" operator="containsText" text="LONG ">
      <formula>NOT(ISERROR(SEARCH("LONG ",E92)))</formula>
    </cfRule>
  </conditionalFormatting>
  <conditionalFormatting sqref="E97">
    <cfRule type="cellIs" dxfId="872" priority="573" operator="greaterThan">
      <formula>2000</formula>
    </cfRule>
    <cfRule type="expression" dxfId="871" priority="571">
      <formula>AND((ISNUMBER(SEARCH("I-MUAP",$D$14))),E97&lt;2500)</formula>
    </cfRule>
    <cfRule type="expression" dxfId="870" priority="572">
      <formula>ISNUMBER(SEARCH("I-MUAP",$D$14))</formula>
    </cfRule>
  </conditionalFormatting>
  <conditionalFormatting sqref="E102:E103">
    <cfRule type="expression" dxfId="869" priority="224">
      <formula>$C102="SELECT WORKS"</formula>
    </cfRule>
  </conditionalFormatting>
  <conditionalFormatting sqref="E107:E108">
    <cfRule type="expression" dxfId="868" priority="366">
      <formula>D107="WW PODS"</formula>
    </cfRule>
    <cfRule type="expression" dxfId="867" priority="367">
      <formula>D107="FILTER TYPE"</formula>
    </cfRule>
    <cfRule type="expression" dxfId="866" priority="368">
      <formula>D107="KSA"</formula>
    </cfRule>
    <cfRule type="expression" dxfId="865" priority="369">
      <formula>(D99="CANOPY TYPE")</formula>
    </cfRule>
  </conditionalFormatting>
  <conditionalFormatting sqref="E109">
    <cfRule type="containsText" dxfId="864" priority="564" operator="containsText" text="LONG ">
      <formula>NOT(ISERROR(SEARCH("LONG ",E109)))</formula>
    </cfRule>
  </conditionalFormatting>
  <conditionalFormatting sqref="E114">
    <cfRule type="expression" dxfId="863" priority="343">
      <formula>ISNUMBER(SEARCH("I-MUAP",$D$14))</formula>
    </cfRule>
    <cfRule type="cellIs" dxfId="862" priority="344" operator="greaterThan">
      <formula>2000</formula>
    </cfRule>
    <cfRule type="expression" dxfId="861" priority="342">
      <formula>AND((ISNUMBER(SEARCH("I-MUAP",$D$14))),E114&lt;2500)</formula>
    </cfRule>
  </conditionalFormatting>
  <conditionalFormatting sqref="E119:E120">
    <cfRule type="expression" dxfId="860" priority="211">
      <formula>$C119="SELECT WORKS"</formula>
    </cfRule>
  </conditionalFormatting>
  <conditionalFormatting sqref="E124:E125">
    <cfRule type="expression" dxfId="859" priority="300">
      <formula>D124="WW PODS"</formula>
    </cfRule>
    <cfRule type="expression" dxfId="858" priority="301">
      <formula>D124="FILTER TYPE"</formula>
    </cfRule>
    <cfRule type="expression" dxfId="857" priority="302">
      <formula>D124="KSA"</formula>
    </cfRule>
    <cfRule type="expression" dxfId="856" priority="303">
      <formula>(D116="CANOPY TYPE")</formula>
    </cfRule>
  </conditionalFormatting>
  <conditionalFormatting sqref="E126">
    <cfRule type="containsText" dxfId="855" priority="335" operator="containsText" text="LONG ">
      <formula>NOT(ISERROR(SEARCH("LONG ",E126)))</formula>
    </cfRule>
  </conditionalFormatting>
  <conditionalFormatting sqref="E131">
    <cfRule type="cellIs" dxfId="854" priority="181" operator="greaterThan">
      <formula>2000</formula>
    </cfRule>
    <cfRule type="expression" dxfId="853" priority="180">
      <formula>ISNUMBER(SEARCH("I-MUAP",$D$14))</formula>
    </cfRule>
    <cfRule type="expression" dxfId="852" priority="179">
      <formula>AND((ISNUMBER(SEARCH("I-MUAP",$D$14))),E131&lt;2500)</formula>
    </cfRule>
  </conditionalFormatting>
  <conditionalFormatting sqref="E136:E137">
    <cfRule type="expression" dxfId="851" priority="22">
      <formula>$C136="SELECT WORKS"</formula>
    </cfRule>
  </conditionalFormatting>
  <conditionalFormatting sqref="E141:E142">
    <cfRule type="expression" dxfId="850" priority="100">
      <formula>D141="WW PODS"</formula>
    </cfRule>
    <cfRule type="expression" dxfId="849" priority="101">
      <formula>D141="FILTER TYPE"</formula>
    </cfRule>
    <cfRule type="expression" dxfId="848" priority="102">
      <formula>D141="KSA"</formula>
    </cfRule>
    <cfRule type="expression" dxfId="847" priority="103">
      <formula>(D133="CANOPY TYPE")</formula>
    </cfRule>
  </conditionalFormatting>
  <conditionalFormatting sqref="E143">
    <cfRule type="containsText" dxfId="846" priority="172" operator="containsText" text="LONG ">
      <formula>NOT(ISERROR(SEARCH("LONG ",E143)))</formula>
    </cfRule>
  </conditionalFormatting>
  <conditionalFormatting sqref="E148">
    <cfRule type="cellIs" dxfId="845" priority="150" operator="greaterThan">
      <formula>2000</formula>
    </cfRule>
    <cfRule type="expression" dxfId="844" priority="149">
      <formula>ISNUMBER(SEARCH("I-MUAP",$D$14))</formula>
    </cfRule>
    <cfRule type="expression" dxfId="843" priority="148">
      <formula>AND((ISNUMBER(SEARCH("I-MUAP",$D$14))),E148&lt;2500)</formula>
    </cfRule>
  </conditionalFormatting>
  <conditionalFormatting sqref="E153:E154">
    <cfRule type="expression" dxfId="842" priority="11">
      <formula>$C153="SELECT WORKS"</formula>
    </cfRule>
  </conditionalFormatting>
  <conditionalFormatting sqref="E158:E159">
    <cfRule type="expression" dxfId="841" priority="86">
      <formula>D158="FILTER TYPE"</formula>
    </cfRule>
    <cfRule type="expression" dxfId="840" priority="87">
      <formula>D158="KSA"</formula>
    </cfRule>
    <cfRule type="expression" dxfId="839" priority="88">
      <formula>(D150="CANOPY TYPE")</formula>
    </cfRule>
    <cfRule type="expression" dxfId="838" priority="85">
      <formula>D158="WW PODS"</formula>
    </cfRule>
  </conditionalFormatting>
  <conditionalFormatting sqref="E160">
    <cfRule type="containsText" dxfId="837" priority="141" operator="containsText" text="LONG ">
      <formula>NOT(ISERROR(SEARCH("LONG ",E160)))</formula>
    </cfRule>
  </conditionalFormatting>
  <conditionalFormatting sqref="E165">
    <cfRule type="expression" dxfId="836" priority="72">
      <formula>AND((ISNUMBER(SEARCH("I-MUAP",$D$14))),E165&lt;2500)</formula>
    </cfRule>
    <cfRule type="expression" dxfId="835" priority="73">
      <formula>ISNUMBER(SEARCH("I-MUAP",$D$14))</formula>
    </cfRule>
    <cfRule type="cellIs" dxfId="834" priority="74" operator="greaterThan">
      <formula>2000</formula>
    </cfRule>
  </conditionalFormatting>
  <conditionalFormatting sqref="E170:E171">
    <cfRule type="expression" dxfId="833" priority="6">
      <formula>$C170="SELECT WORKS"</formula>
    </cfRule>
  </conditionalFormatting>
  <conditionalFormatting sqref="E175:E176">
    <cfRule type="expression" dxfId="832" priority="32">
      <formula>D175="WW PODS"</formula>
    </cfRule>
    <cfRule type="expression" dxfId="831" priority="35">
      <formula>(D167="CANOPY TYPE")</formula>
    </cfRule>
    <cfRule type="expression" dxfId="830" priority="34">
      <formula>D175="KSA"</formula>
    </cfRule>
    <cfRule type="expression" dxfId="829" priority="33">
      <formula>D175="FILTER TYPE"</formula>
    </cfRule>
  </conditionalFormatting>
  <conditionalFormatting sqref="E177">
    <cfRule type="containsText" dxfId="828" priority="65" operator="containsText" text="LONG ">
      <formula>NOT(ISERROR(SEARCH("LONG ",E177)))</formula>
    </cfRule>
  </conditionalFormatting>
  <conditionalFormatting sqref="E12:F12">
    <cfRule type="cellIs" dxfId="827" priority="774" operator="lessThan">
      <formula>1000</formula>
    </cfRule>
  </conditionalFormatting>
  <conditionalFormatting sqref="E14:F14">
    <cfRule type="cellIs" dxfId="826" priority="771" operator="lessThan">
      <formula>1000</formula>
    </cfRule>
  </conditionalFormatting>
  <conditionalFormatting sqref="E25:F27">
    <cfRule type="expression" dxfId="825" priority="706">
      <formula>($D$14="CANOPY TYPE")</formula>
    </cfRule>
  </conditionalFormatting>
  <conditionalFormatting sqref="E29:F29">
    <cfRule type="cellIs" dxfId="824" priority="693" operator="lessThan">
      <formula>1000</formula>
    </cfRule>
  </conditionalFormatting>
  <conditionalFormatting sqref="E31:F31">
    <cfRule type="cellIs" dxfId="823" priority="690" operator="lessThan">
      <formula>1000</formula>
    </cfRule>
  </conditionalFormatting>
  <conditionalFormatting sqref="E32:F32">
    <cfRule type="expression" dxfId="822" priority="536">
      <formula>(C32="LIGHT SELECTION")</formula>
    </cfRule>
  </conditionalFormatting>
  <conditionalFormatting sqref="E42:F44">
    <cfRule type="expression" dxfId="821" priority="674">
      <formula>($D$14="CANOPY TYPE")</formula>
    </cfRule>
  </conditionalFormatting>
  <conditionalFormatting sqref="E46:F46">
    <cfRule type="cellIs" dxfId="820" priority="661" operator="lessThan">
      <formula>1000</formula>
    </cfRule>
  </conditionalFormatting>
  <conditionalFormatting sqref="E48:F48">
    <cfRule type="cellIs" dxfId="819" priority="658" operator="lessThan">
      <formula>1000</formula>
    </cfRule>
  </conditionalFormatting>
  <conditionalFormatting sqref="E59:F61">
    <cfRule type="expression" dxfId="818" priority="644">
      <formula>($D$14="CANOPY TYPE")</formula>
    </cfRule>
  </conditionalFormatting>
  <conditionalFormatting sqref="E63:F63">
    <cfRule type="cellIs" dxfId="817" priority="631" operator="lessThan">
      <formula>1000</formula>
    </cfRule>
  </conditionalFormatting>
  <conditionalFormatting sqref="E65:F65">
    <cfRule type="cellIs" dxfId="816" priority="628" operator="lessThan">
      <formula>1000</formula>
    </cfRule>
  </conditionalFormatting>
  <conditionalFormatting sqref="E66:F66">
    <cfRule type="expression" dxfId="815" priority="529">
      <formula>(C66="LIGHT SELECTION")</formula>
    </cfRule>
  </conditionalFormatting>
  <conditionalFormatting sqref="E76:F78">
    <cfRule type="expression" dxfId="814" priority="613">
      <formula>($D$14="CANOPY TYPE")</formula>
    </cfRule>
  </conditionalFormatting>
  <conditionalFormatting sqref="E80:F80">
    <cfRule type="cellIs" dxfId="813" priority="600" operator="lessThan">
      <formula>1000</formula>
    </cfRule>
  </conditionalFormatting>
  <conditionalFormatting sqref="E82:F82">
    <cfRule type="cellIs" dxfId="812" priority="597" operator="lessThan">
      <formula>1000</formula>
    </cfRule>
  </conditionalFormatting>
  <conditionalFormatting sqref="E83:F83">
    <cfRule type="expression" dxfId="811" priority="525">
      <formula>(C83="LIGHT SELECTION")</formula>
    </cfRule>
  </conditionalFormatting>
  <conditionalFormatting sqref="E93:F95">
    <cfRule type="expression" dxfId="810" priority="581">
      <formula>($D$14="CANOPY TYPE")</formula>
    </cfRule>
  </conditionalFormatting>
  <conditionalFormatting sqref="E97:F97">
    <cfRule type="cellIs" dxfId="809" priority="568" operator="lessThan">
      <formula>1000</formula>
    </cfRule>
  </conditionalFormatting>
  <conditionalFormatting sqref="E99:F99">
    <cfRule type="cellIs" dxfId="808" priority="565" operator="lessThan">
      <formula>1000</formula>
    </cfRule>
  </conditionalFormatting>
  <conditionalFormatting sqref="E100:F100">
    <cfRule type="expression" dxfId="807" priority="521">
      <formula>(C100="LIGHT SELECTION")</formula>
    </cfRule>
  </conditionalFormatting>
  <conditionalFormatting sqref="E110:F112 E127:F129 E161:F163 E178:F180">
    <cfRule type="expression" dxfId="806" priority="550">
      <formula>($D$14="CANOPY TYPE")</formula>
    </cfRule>
  </conditionalFormatting>
  <conditionalFormatting sqref="E114:F114">
    <cfRule type="cellIs" dxfId="805" priority="339" operator="lessThan">
      <formula>1000</formula>
    </cfRule>
  </conditionalFormatting>
  <conditionalFormatting sqref="E116:F116">
    <cfRule type="cellIs" dxfId="804" priority="336" operator="lessThan">
      <formula>1000</formula>
    </cfRule>
  </conditionalFormatting>
  <conditionalFormatting sqref="E117:F117">
    <cfRule type="expression" dxfId="803" priority="318">
      <formula>(C117="LIGHT SELECTION")</formula>
    </cfRule>
  </conditionalFormatting>
  <conditionalFormatting sqref="E131:F131">
    <cfRule type="cellIs" dxfId="802" priority="176" operator="lessThan">
      <formula>1000</formula>
    </cfRule>
  </conditionalFormatting>
  <conditionalFormatting sqref="E133:F133">
    <cfRule type="cellIs" dxfId="801" priority="173" operator="lessThan">
      <formula>1000</formula>
    </cfRule>
  </conditionalFormatting>
  <conditionalFormatting sqref="E134:F134">
    <cfRule type="expression" dxfId="800" priority="125">
      <formula>(C134="LIGHT SELECTION")</formula>
    </cfRule>
  </conditionalFormatting>
  <conditionalFormatting sqref="E144:F146">
    <cfRule type="expression" dxfId="799" priority="158">
      <formula>($D$14="CANOPY TYPE")</formula>
    </cfRule>
  </conditionalFormatting>
  <conditionalFormatting sqref="E148:F148">
    <cfRule type="cellIs" dxfId="798" priority="145" operator="lessThan">
      <formula>1000</formula>
    </cfRule>
  </conditionalFormatting>
  <conditionalFormatting sqref="E150:F150">
    <cfRule type="cellIs" dxfId="797" priority="142" operator="lessThan">
      <formula>1000</formula>
    </cfRule>
  </conditionalFormatting>
  <conditionalFormatting sqref="E151:F151">
    <cfRule type="expression" dxfId="796" priority="121">
      <formula>(C151="LIGHT SELECTION")</formula>
    </cfRule>
  </conditionalFormatting>
  <conditionalFormatting sqref="E165:F165">
    <cfRule type="cellIs" dxfId="795" priority="69" operator="lessThan">
      <formula>1000</formula>
    </cfRule>
  </conditionalFormatting>
  <conditionalFormatting sqref="E167:F167">
    <cfRule type="cellIs" dxfId="794" priority="66" operator="lessThan">
      <formula>1000</formula>
    </cfRule>
  </conditionalFormatting>
  <conditionalFormatting sqref="E168:F168">
    <cfRule type="expression" dxfId="793" priority="50">
      <formula>(C168="LIGHT SELECTION")</formula>
    </cfRule>
  </conditionalFormatting>
  <conditionalFormatting sqref="F12">
    <cfRule type="cellIs" dxfId="792" priority="775" operator="greaterThan">
      <formula>3001</formula>
    </cfRule>
  </conditionalFormatting>
  <conditionalFormatting sqref="F15">
    <cfRule type="expression" dxfId="791" priority="538">
      <formula>(C15="LED STRIP")</formula>
    </cfRule>
    <cfRule type="expression" dxfId="790" priority="797">
      <formula>(D49="LIGHT SELECTION")</formula>
    </cfRule>
    <cfRule type="expression" dxfId="789" priority="763">
      <formula>(C15="LIGHT SELECTION")</formula>
    </cfRule>
    <cfRule type="expression" dxfId="788" priority="765">
      <formula>(C15="FLO")</formula>
    </cfRule>
  </conditionalFormatting>
  <conditionalFormatting sqref="F22:F23">
    <cfRule type="expression" dxfId="787" priority="795">
      <formula>(((I14*3600)/(C22*I11))^2+20)&gt;180</formula>
    </cfRule>
    <cfRule type="expression" dxfId="786" priority="793">
      <formula>(((I14*3600)/(C22*I11))^2+20)&gt;300</formula>
    </cfRule>
    <cfRule type="expression" dxfId="785" priority="792" stopIfTrue="1">
      <formula>D14="canopy type"</formula>
    </cfRule>
    <cfRule type="expression" dxfId="784" priority="788">
      <formula>D22="NF"</formula>
    </cfRule>
    <cfRule type="expression" dxfId="783" priority="789">
      <formula>D22="WW PODS"</formula>
    </cfRule>
    <cfRule type="expression" dxfId="782" priority="790">
      <formula>D22="GRILLE"</formula>
    </cfRule>
    <cfRule type="expression" dxfId="781" priority="791">
      <formula>D22="CENTREX"</formula>
    </cfRule>
    <cfRule type="expression" dxfId="780" priority="796">
      <formula>D22="KSA"</formula>
    </cfRule>
    <cfRule type="expression" dxfId="779" priority="794" stopIfTrue="1">
      <formula>(ISNUMBER(SEARCH("UV",D14)))</formula>
    </cfRule>
  </conditionalFormatting>
  <conditionalFormatting sqref="F24">
    <cfRule type="cellIs" dxfId="778" priority="769" operator="lessThan">
      <formula>2100</formula>
    </cfRule>
  </conditionalFormatting>
  <conditionalFormatting sqref="F29">
    <cfRule type="cellIs" dxfId="777" priority="694" operator="greaterThan">
      <formula>3001</formula>
    </cfRule>
  </conditionalFormatting>
  <conditionalFormatting sqref="F32">
    <cfRule type="expression" dxfId="776" priority="537">
      <formula>(C32="FLO")</formula>
    </cfRule>
    <cfRule type="expression" dxfId="775" priority="535">
      <formula>(C32="LIGHT SELECTION")</formula>
    </cfRule>
    <cfRule type="expression" dxfId="774" priority="534">
      <formula>(C32="LED STRIP")</formula>
    </cfRule>
  </conditionalFormatting>
  <conditionalFormatting sqref="F39:F40">
    <cfRule type="expression" dxfId="773" priority="481">
      <formula>(((I31*3600)/(C39*I28))^2+20)&gt;180</formula>
    </cfRule>
    <cfRule type="expression" dxfId="772" priority="482">
      <formula>D39="KSA"</formula>
    </cfRule>
    <cfRule type="expression" dxfId="771" priority="474">
      <formula>D39="NF"</formula>
    </cfRule>
    <cfRule type="expression" dxfId="770" priority="475">
      <formula>D39="WW PODS"</formula>
    </cfRule>
    <cfRule type="expression" dxfId="769" priority="476">
      <formula>D39="GRILLE"</formula>
    </cfRule>
    <cfRule type="expression" dxfId="768" priority="477">
      <formula>D39="CENTREX"</formula>
    </cfRule>
    <cfRule type="expression" dxfId="767" priority="478" stopIfTrue="1">
      <formula>D31="canopy type"</formula>
    </cfRule>
    <cfRule type="expression" dxfId="766" priority="479">
      <formula>(((I31*3600)/(C39*I28))^2+20)&gt;300</formula>
    </cfRule>
    <cfRule type="expression" dxfId="765" priority="480" stopIfTrue="1">
      <formula>(ISNUMBER(SEARCH("UV",D31)))</formula>
    </cfRule>
  </conditionalFormatting>
  <conditionalFormatting sqref="F41">
    <cfRule type="cellIs" dxfId="764" priority="688" operator="lessThan">
      <formula>2100</formula>
    </cfRule>
  </conditionalFormatting>
  <conditionalFormatting sqref="F46">
    <cfRule type="cellIs" dxfId="763" priority="662" operator="greaterThan">
      <formula>3001</formula>
    </cfRule>
  </conditionalFormatting>
  <conditionalFormatting sqref="F49">
    <cfRule type="expression" dxfId="762" priority="532">
      <formula>(C49="LIGHT SELECTION")</formula>
    </cfRule>
    <cfRule type="expression" dxfId="761" priority="533">
      <formula>(C49="FLO")</formula>
    </cfRule>
    <cfRule type="expression" dxfId="760" priority="798">
      <formula>(#REF!="LIGHT SELECTION")</formula>
    </cfRule>
    <cfRule type="expression" dxfId="759" priority="531">
      <formula>(C49="LED STRIP")</formula>
    </cfRule>
  </conditionalFormatting>
  <conditionalFormatting sqref="F56:F57">
    <cfRule type="expression" dxfId="758" priority="456">
      <formula>D56="KSA"</formula>
    </cfRule>
    <cfRule type="expression" dxfId="757" priority="455">
      <formula>(((I48*3600)/(C56*I45))^2+20)&gt;180</formula>
    </cfRule>
    <cfRule type="expression" dxfId="756" priority="454" stopIfTrue="1">
      <formula>(ISNUMBER(SEARCH("UV",D48)))</formula>
    </cfRule>
    <cfRule type="expression" dxfId="755" priority="453">
      <formula>(((I48*3600)/(C56*I45))^2+20)&gt;300</formula>
    </cfRule>
    <cfRule type="expression" dxfId="754" priority="452" stopIfTrue="1">
      <formula>D48="canopy type"</formula>
    </cfRule>
    <cfRule type="expression" dxfId="753" priority="451">
      <formula>D56="CENTREX"</formula>
    </cfRule>
    <cfRule type="expression" dxfId="752" priority="450">
      <formula>D56="GRILLE"</formula>
    </cfRule>
    <cfRule type="expression" dxfId="751" priority="449">
      <formula>D56="WW PODS"</formula>
    </cfRule>
    <cfRule type="expression" dxfId="750" priority="448">
      <formula>D56="NF"</formula>
    </cfRule>
  </conditionalFormatting>
  <conditionalFormatting sqref="F58">
    <cfRule type="cellIs" dxfId="749" priority="656" operator="lessThan">
      <formula>2100</formula>
    </cfRule>
  </conditionalFormatting>
  <conditionalFormatting sqref="F63">
    <cfRule type="cellIs" dxfId="748" priority="632" operator="greaterThan">
      <formula>3001</formula>
    </cfRule>
  </conditionalFormatting>
  <conditionalFormatting sqref="F66">
    <cfRule type="expression" dxfId="747" priority="527">
      <formula>(C66="LED STRIP")</formula>
    </cfRule>
    <cfRule type="expression" dxfId="746" priority="528">
      <formula>(C66="LIGHT SELECTION")</formula>
    </cfRule>
    <cfRule type="expression" dxfId="745" priority="530">
      <formula>(C66="FLO")</formula>
    </cfRule>
  </conditionalFormatting>
  <conditionalFormatting sqref="F73:F74">
    <cfRule type="expression" dxfId="744" priority="424">
      <formula>D73="GRILLE"</formula>
    </cfRule>
    <cfRule type="expression" dxfId="743" priority="422">
      <formula>D73="NF"</formula>
    </cfRule>
    <cfRule type="expression" dxfId="742" priority="423">
      <formula>D73="WW PODS"</formula>
    </cfRule>
    <cfRule type="expression" dxfId="741" priority="425">
      <formula>D73="CENTREX"</formula>
    </cfRule>
    <cfRule type="expression" dxfId="740" priority="426" stopIfTrue="1">
      <formula>D65="canopy type"</formula>
    </cfRule>
    <cfRule type="expression" dxfId="739" priority="427">
      <formula>(((I65*3600)/(C73*I62))^2+20)&gt;300</formula>
    </cfRule>
    <cfRule type="expression" dxfId="738" priority="428" stopIfTrue="1">
      <formula>(ISNUMBER(SEARCH("UV",D65)))</formula>
    </cfRule>
    <cfRule type="expression" dxfId="737" priority="429">
      <formula>(((I65*3600)/(C73*I62))^2+20)&gt;180</formula>
    </cfRule>
    <cfRule type="expression" dxfId="736" priority="430">
      <formula>D73="KSA"</formula>
    </cfRule>
  </conditionalFormatting>
  <conditionalFormatting sqref="F75">
    <cfRule type="cellIs" dxfId="735" priority="626" operator="lessThan">
      <formula>2100</formula>
    </cfRule>
  </conditionalFormatting>
  <conditionalFormatting sqref="F80">
    <cfRule type="cellIs" dxfId="734" priority="601" operator="greaterThan">
      <formula>3001</formula>
    </cfRule>
  </conditionalFormatting>
  <conditionalFormatting sqref="F83">
    <cfRule type="expression" dxfId="733" priority="526">
      <formula>(C83="FLO")</formula>
    </cfRule>
    <cfRule type="expression" dxfId="732" priority="523">
      <formula>(C83="LED STRIP")</formula>
    </cfRule>
    <cfRule type="expression" dxfId="731" priority="524">
      <formula>(C83="LIGHT SELECTION")</formula>
    </cfRule>
  </conditionalFormatting>
  <conditionalFormatting sqref="F90:F91">
    <cfRule type="expression" dxfId="730" priority="401">
      <formula>(((I82*3600)/(C90*I79))^2+20)&gt;300</formula>
    </cfRule>
    <cfRule type="expression" dxfId="729" priority="403">
      <formula>(((I82*3600)/(C90*I79))^2+20)&gt;180</formula>
    </cfRule>
    <cfRule type="expression" dxfId="728" priority="396">
      <formula>D90="NF"</formula>
    </cfRule>
    <cfRule type="expression" dxfId="727" priority="397">
      <formula>D90="WW PODS"</formula>
    </cfRule>
    <cfRule type="expression" dxfId="726" priority="398">
      <formula>D90="GRILLE"</formula>
    </cfRule>
    <cfRule type="expression" dxfId="725" priority="399">
      <formula>D90="CENTREX"</formula>
    </cfRule>
    <cfRule type="expression" dxfId="724" priority="400" stopIfTrue="1">
      <formula>D82="canopy type"</formula>
    </cfRule>
    <cfRule type="expression" dxfId="723" priority="402" stopIfTrue="1">
      <formula>(ISNUMBER(SEARCH("UV",D82)))</formula>
    </cfRule>
    <cfRule type="expression" dxfId="722" priority="404">
      <formula>D90="KSA"</formula>
    </cfRule>
  </conditionalFormatting>
  <conditionalFormatting sqref="F92">
    <cfRule type="cellIs" dxfId="721" priority="595" operator="lessThan">
      <formula>2100</formula>
    </cfRule>
  </conditionalFormatting>
  <conditionalFormatting sqref="F97">
    <cfRule type="cellIs" dxfId="720" priority="569" operator="greaterThan">
      <formula>3001</formula>
    </cfRule>
  </conditionalFormatting>
  <conditionalFormatting sqref="F100">
    <cfRule type="expression" dxfId="719" priority="519">
      <formula>(C100="LED STRIP")</formula>
    </cfRule>
    <cfRule type="expression" dxfId="718" priority="520">
      <formula>(C100="LIGHT SELECTION")</formula>
    </cfRule>
    <cfRule type="expression" dxfId="717" priority="522">
      <formula>(C100="FLO")</formula>
    </cfRule>
  </conditionalFormatting>
  <conditionalFormatting sqref="F107:F108">
    <cfRule type="expression" dxfId="716" priority="374" stopIfTrue="1">
      <formula>D99="canopy type"</formula>
    </cfRule>
    <cfRule type="expression" dxfId="715" priority="373">
      <formula>D107="CENTREX"</formula>
    </cfRule>
    <cfRule type="expression" dxfId="714" priority="372">
      <formula>D107="GRILLE"</formula>
    </cfRule>
    <cfRule type="expression" dxfId="713" priority="371">
      <formula>D107="WW PODS"</formula>
    </cfRule>
    <cfRule type="expression" dxfId="712" priority="370">
      <formula>D107="NF"</formula>
    </cfRule>
    <cfRule type="expression" dxfId="711" priority="378">
      <formula>D107="KSA"</formula>
    </cfRule>
    <cfRule type="expression" dxfId="710" priority="377">
      <formula>(((I99*3600)/(C107*I96))^2+20)&gt;180</formula>
    </cfRule>
    <cfRule type="expression" dxfId="709" priority="376" stopIfTrue="1">
      <formula>(ISNUMBER(SEARCH("UV",D99)))</formula>
    </cfRule>
    <cfRule type="expression" dxfId="708" priority="375">
      <formula>(((I99*3600)/(C107*I96))^2+20)&gt;300</formula>
    </cfRule>
  </conditionalFormatting>
  <conditionalFormatting sqref="F109">
    <cfRule type="cellIs" dxfId="707" priority="563" operator="lessThan">
      <formula>2100</formula>
    </cfRule>
  </conditionalFormatting>
  <conditionalFormatting sqref="F114">
    <cfRule type="cellIs" dxfId="706" priority="340" operator="greaterThan">
      <formula>3001</formula>
    </cfRule>
  </conditionalFormatting>
  <conditionalFormatting sqref="F117">
    <cfRule type="expression" dxfId="705" priority="316">
      <formula>(C117="LED STRIP")</formula>
    </cfRule>
    <cfRule type="expression" dxfId="704" priority="319">
      <formula>(C117="FLO")</formula>
    </cfRule>
    <cfRule type="expression" dxfId="703" priority="317">
      <formula>(C117="LIGHT SELECTION")</formula>
    </cfRule>
  </conditionalFormatting>
  <conditionalFormatting sqref="F124:F125">
    <cfRule type="expression" dxfId="702" priority="306">
      <formula>D124="GRILLE"</formula>
    </cfRule>
    <cfRule type="expression" dxfId="701" priority="305">
      <formula>D124="WW PODS"</formula>
    </cfRule>
    <cfRule type="expression" dxfId="700" priority="304">
      <formula>D124="NF"</formula>
    </cfRule>
    <cfRule type="expression" dxfId="699" priority="307">
      <formula>D124="CENTREX"</formula>
    </cfRule>
    <cfRule type="expression" dxfId="698" priority="308" stopIfTrue="1">
      <formula>D116="canopy type"</formula>
    </cfRule>
    <cfRule type="expression" dxfId="697" priority="309">
      <formula>(((I116*3600)/(C124*I113))^2+20)&gt;300</formula>
    </cfRule>
    <cfRule type="expression" dxfId="696" priority="310" stopIfTrue="1">
      <formula>(ISNUMBER(SEARCH("UV",D116)))</formula>
    </cfRule>
    <cfRule type="expression" dxfId="695" priority="311">
      <formula>(((I116*3600)/(C124*I113))^2+20)&gt;180</formula>
    </cfRule>
    <cfRule type="expression" dxfId="694" priority="312">
      <formula>D124="KSA"</formula>
    </cfRule>
  </conditionalFormatting>
  <conditionalFormatting sqref="F126">
    <cfRule type="cellIs" dxfId="693" priority="334" operator="lessThan">
      <formula>2100</formula>
    </cfRule>
  </conditionalFormatting>
  <conditionalFormatting sqref="F131">
    <cfRule type="cellIs" dxfId="692" priority="177" operator="greaterThan">
      <formula>3001</formula>
    </cfRule>
  </conditionalFormatting>
  <conditionalFormatting sqref="F134">
    <cfRule type="expression" dxfId="691" priority="126">
      <formula>(C134="FLO")</formula>
    </cfRule>
    <cfRule type="expression" dxfId="690" priority="124">
      <formula>(C134="LIGHT SELECTION")</formula>
    </cfRule>
    <cfRule type="expression" dxfId="689" priority="123">
      <formula>(C134="LED STRIP")</formula>
    </cfRule>
  </conditionalFormatting>
  <conditionalFormatting sqref="F141:F142">
    <cfRule type="expression" dxfId="688" priority="105">
      <formula>D141="WW PODS"</formula>
    </cfRule>
    <cfRule type="expression" dxfId="687" priority="111">
      <formula>(((I133*3600)/(C141*I130))^2+20)&gt;180</formula>
    </cfRule>
    <cfRule type="expression" dxfId="686" priority="106">
      <formula>D141="GRILLE"</formula>
    </cfRule>
    <cfRule type="expression" dxfId="685" priority="107">
      <formula>D141="CENTREX"</formula>
    </cfRule>
    <cfRule type="expression" dxfId="684" priority="108" stopIfTrue="1">
      <formula>D133="canopy type"</formula>
    </cfRule>
    <cfRule type="expression" dxfId="683" priority="112">
      <formula>D141="KSA"</formula>
    </cfRule>
    <cfRule type="expression" dxfId="682" priority="104">
      <formula>D141="NF"</formula>
    </cfRule>
    <cfRule type="expression" dxfId="681" priority="110" stopIfTrue="1">
      <formula>(ISNUMBER(SEARCH("UV",D133)))</formula>
    </cfRule>
    <cfRule type="expression" dxfId="680" priority="109">
      <formula>(((I133*3600)/(C141*I130))^2+20)&gt;300</formula>
    </cfRule>
  </conditionalFormatting>
  <conditionalFormatting sqref="F143">
    <cfRule type="cellIs" dxfId="679" priority="171" operator="lessThan">
      <formula>2100</formula>
    </cfRule>
  </conditionalFormatting>
  <conditionalFormatting sqref="F148">
    <cfRule type="cellIs" dxfId="678" priority="146" operator="greaterThan">
      <formula>3001</formula>
    </cfRule>
  </conditionalFormatting>
  <conditionalFormatting sqref="F151">
    <cfRule type="expression" dxfId="677" priority="119">
      <formula>(C151="LED STRIP")</formula>
    </cfRule>
    <cfRule type="expression" dxfId="676" priority="120">
      <formula>(C151="LIGHT SELECTION")</formula>
    </cfRule>
    <cfRule type="expression" dxfId="675" priority="122">
      <formula>(C151="FLO")</formula>
    </cfRule>
  </conditionalFormatting>
  <conditionalFormatting sqref="F158:F159">
    <cfRule type="expression" dxfId="674" priority="89">
      <formula>D158="NF"</formula>
    </cfRule>
    <cfRule type="expression" dxfId="673" priority="95" stopIfTrue="1">
      <formula>(ISNUMBER(SEARCH("UV",D150)))</formula>
    </cfRule>
    <cfRule type="expression" dxfId="672" priority="90">
      <formula>D158="WW PODS"</formula>
    </cfRule>
    <cfRule type="expression" dxfId="671" priority="91">
      <formula>D158="GRILLE"</formula>
    </cfRule>
    <cfRule type="expression" dxfId="670" priority="92">
      <formula>D158="CENTREX"</formula>
    </cfRule>
    <cfRule type="expression" dxfId="669" priority="97">
      <formula>D158="KSA"</formula>
    </cfRule>
    <cfRule type="expression" dxfId="668" priority="96">
      <formula>(((I150*3600)/(C158*I147))^2+20)&gt;180</formula>
    </cfRule>
    <cfRule type="expression" dxfId="667" priority="93" stopIfTrue="1">
      <formula>D150="canopy type"</formula>
    </cfRule>
    <cfRule type="expression" dxfId="666" priority="94">
      <formula>(((I150*3600)/(C158*I147))^2+20)&gt;300</formula>
    </cfRule>
  </conditionalFormatting>
  <conditionalFormatting sqref="F160">
    <cfRule type="cellIs" dxfId="665" priority="140" operator="lessThan">
      <formula>2100</formula>
    </cfRule>
  </conditionalFormatting>
  <conditionalFormatting sqref="F165">
    <cfRule type="cellIs" dxfId="664" priority="70" operator="greaterThan">
      <formula>3001</formula>
    </cfRule>
  </conditionalFormatting>
  <conditionalFormatting sqref="F168">
    <cfRule type="expression" dxfId="663" priority="48">
      <formula>(C168="LED STRIP")</formula>
    </cfRule>
    <cfRule type="expression" dxfId="662" priority="51">
      <formula>(C168="FLO")</formula>
    </cfRule>
    <cfRule type="expression" dxfId="661" priority="49">
      <formula>(C168="LIGHT SELECTION")</formula>
    </cfRule>
  </conditionalFormatting>
  <conditionalFormatting sqref="F175:F176">
    <cfRule type="expression" dxfId="660" priority="44">
      <formula>D175="KSA"</formula>
    </cfRule>
    <cfRule type="expression" dxfId="659" priority="43">
      <formula>(((I167*3600)/(C175*I164))^2+20)&gt;180</formula>
    </cfRule>
    <cfRule type="expression" dxfId="658" priority="42" stopIfTrue="1">
      <formula>(ISNUMBER(SEARCH("UV",D167)))</formula>
    </cfRule>
    <cfRule type="expression" dxfId="657" priority="41">
      <formula>(((I167*3600)/(C175*I164))^2+20)&gt;300</formula>
    </cfRule>
    <cfRule type="expression" dxfId="656" priority="40" stopIfTrue="1">
      <formula>D167="canopy type"</formula>
    </cfRule>
    <cfRule type="expression" dxfId="655" priority="36">
      <formula>D175="NF"</formula>
    </cfRule>
    <cfRule type="expression" dxfId="654" priority="39">
      <formula>D175="CENTREX"</formula>
    </cfRule>
    <cfRule type="expression" dxfId="653" priority="37">
      <formula>D175="WW PODS"</formula>
    </cfRule>
    <cfRule type="expression" dxfId="652" priority="38">
      <formula>D175="GRILLE"</formula>
    </cfRule>
  </conditionalFormatting>
  <conditionalFormatting sqref="F177">
    <cfRule type="cellIs" dxfId="651" priority="64" operator="lessThan">
      <formula>2100</formula>
    </cfRule>
  </conditionalFormatting>
  <conditionalFormatting sqref="G11">
    <cfRule type="expression" dxfId="650" priority="777">
      <formula>((F14-50)/H14)&lt;950</formula>
    </cfRule>
  </conditionalFormatting>
  <conditionalFormatting sqref="G12">
    <cfRule type="expression" dxfId="649" priority="776">
      <formula>((F14-50)/H14)&lt;950</formula>
    </cfRule>
  </conditionalFormatting>
  <conditionalFormatting sqref="G14">
    <cfRule type="cellIs" dxfId="648" priority="772" operator="lessThan">
      <formula>400</formula>
    </cfRule>
  </conditionalFormatting>
  <conditionalFormatting sqref="G28">
    <cfRule type="expression" dxfId="647" priority="717">
      <formula>((F31-50)/H31)&lt;950</formula>
    </cfRule>
  </conditionalFormatting>
  <conditionalFormatting sqref="G29">
    <cfRule type="expression" dxfId="646" priority="695">
      <formula>((F31-50)/H31)&lt;950</formula>
    </cfRule>
  </conditionalFormatting>
  <conditionalFormatting sqref="G31">
    <cfRule type="cellIs" dxfId="645" priority="691" operator="lessThan">
      <formula>400</formula>
    </cfRule>
  </conditionalFormatting>
  <conditionalFormatting sqref="G45">
    <cfRule type="expression" dxfId="644" priority="734">
      <formula>((F48-50)/H48)&lt;950</formula>
    </cfRule>
  </conditionalFormatting>
  <conditionalFormatting sqref="G46">
    <cfRule type="expression" dxfId="643" priority="663">
      <formula>((F48-50)/H48)&lt;950</formula>
    </cfRule>
  </conditionalFormatting>
  <conditionalFormatting sqref="G48">
    <cfRule type="cellIs" dxfId="642" priority="659" operator="lessThan">
      <formula>400</formula>
    </cfRule>
  </conditionalFormatting>
  <conditionalFormatting sqref="G62">
    <cfRule type="expression" dxfId="641" priority="735">
      <formula>((F65-50)/H65)&lt;950</formula>
    </cfRule>
  </conditionalFormatting>
  <conditionalFormatting sqref="G63">
    <cfRule type="expression" dxfId="640" priority="633">
      <formula>((F65-50)/H65)&lt;950</formula>
    </cfRule>
  </conditionalFormatting>
  <conditionalFormatting sqref="G65">
    <cfRule type="cellIs" dxfId="639" priority="629" operator="lessThan">
      <formula>400</formula>
    </cfRule>
  </conditionalFormatting>
  <conditionalFormatting sqref="G79">
    <cfRule type="expression" dxfId="638" priority="736">
      <formula>((F82-50)/H82)&lt;950</formula>
    </cfRule>
  </conditionalFormatting>
  <conditionalFormatting sqref="G80">
    <cfRule type="expression" dxfId="637" priority="602">
      <formula>((F82-50)/H82)&lt;950</formula>
    </cfRule>
  </conditionalFormatting>
  <conditionalFormatting sqref="G82">
    <cfRule type="cellIs" dxfId="636" priority="598" operator="lessThan">
      <formula>400</formula>
    </cfRule>
  </conditionalFormatting>
  <conditionalFormatting sqref="G96">
    <cfRule type="expression" dxfId="635" priority="746">
      <formula>((F99-50)/H99)&lt;950</formula>
    </cfRule>
  </conditionalFormatting>
  <conditionalFormatting sqref="G97">
    <cfRule type="expression" dxfId="634" priority="570">
      <formula>((F99-50)/H99)&lt;950</formula>
    </cfRule>
  </conditionalFormatting>
  <conditionalFormatting sqref="G99">
    <cfRule type="cellIs" dxfId="633" priority="566" operator="lessThan">
      <formula>400</formula>
    </cfRule>
  </conditionalFormatting>
  <conditionalFormatting sqref="G113">
    <cfRule type="expression" dxfId="632" priority="352">
      <formula>((F116-50)/H116)&lt;950</formula>
    </cfRule>
  </conditionalFormatting>
  <conditionalFormatting sqref="G114">
    <cfRule type="expression" dxfId="631" priority="341">
      <formula>((F116-50)/H116)&lt;950</formula>
    </cfRule>
  </conditionalFormatting>
  <conditionalFormatting sqref="G116">
    <cfRule type="cellIs" dxfId="630" priority="337" operator="lessThan">
      <formula>400</formula>
    </cfRule>
  </conditionalFormatting>
  <conditionalFormatting sqref="G130">
    <cfRule type="expression" dxfId="629" priority="190">
      <formula>((F133-50)/H133)&lt;950</formula>
    </cfRule>
  </conditionalFormatting>
  <conditionalFormatting sqref="G131">
    <cfRule type="expression" dxfId="628" priority="178">
      <formula>((F133-50)/H133)&lt;950</formula>
    </cfRule>
  </conditionalFormatting>
  <conditionalFormatting sqref="G133">
    <cfRule type="cellIs" dxfId="627" priority="174" operator="lessThan">
      <formula>400</formula>
    </cfRule>
  </conditionalFormatting>
  <conditionalFormatting sqref="G147">
    <cfRule type="expression" dxfId="626" priority="191">
      <formula>((F150-50)/H150)&lt;950</formula>
    </cfRule>
  </conditionalFormatting>
  <conditionalFormatting sqref="G148">
    <cfRule type="expression" dxfId="625" priority="147">
      <formula>((F150-50)/H150)&lt;950</formula>
    </cfRule>
  </conditionalFormatting>
  <conditionalFormatting sqref="G150">
    <cfRule type="cellIs" dxfId="624" priority="143" operator="lessThan">
      <formula>400</formula>
    </cfRule>
  </conditionalFormatting>
  <conditionalFormatting sqref="G164">
    <cfRule type="expression" dxfId="623" priority="82">
      <formula>((F167-50)/H167)&lt;950</formula>
    </cfRule>
  </conditionalFormatting>
  <conditionalFormatting sqref="G165">
    <cfRule type="expression" dxfId="622" priority="71">
      <formula>((F167-50)/H167)&lt;950</formula>
    </cfRule>
  </conditionalFormatting>
  <conditionalFormatting sqref="G167">
    <cfRule type="cellIs" dxfId="621" priority="67" operator="lessThan">
      <formula>400</formula>
    </cfRule>
  </conditionalFormatting>
  <conditionalFormatting sqref="I14">
    <cfRule type="cellIs" dxfId="620" priority="773" operator="lessThan">
      <formula>0.1</formula>
    </cfRule>
  </conditionalFormatting>
  <conditionalFormatting sqref="I31">
    <cfRule type="cellIs" dxfId="619" priority="692" operator="lessThan">
      <formula>0.1</formula>
    </cfRule>
  </conditionalFormatting>
  <conditionalFormatting sqref="I48">
    <cfRule type="cellIs" dxfId="618" priority="660" operator="lessThan">
      <formula>0.1</formula>
    </cfRule>
  </conditionalFormatting>
  <conditionalFormatting sqref="I65">
    <cfRule type="cellIs" dxfId="617" priority="630" operator="lessThan">
      <formula>0.1</formula>
    </cfRule>
  </conditionalFormatting>
  <conditionalFormatting sqref="I82">
    <cfRule type="cellIs" dxfId="616" priority="599" operator="lessThan">
      <formula>0.1</formula>
    </cfRule>
  </conditionalFormatting>
  <conditionalFormatting sqref="I99">
    <cfRule type="cellIs" dxfId="615" priority="567" operator="lessThan">
      <formula>0.1</formula>
    </cfRule>
  </conditionalFormatting>
  <conditionalFormatting sqref="I116">
    <cfRule type="cellIs" dxfId="614" priority="338" operator="lessThan">
      <formula>0.1</formula>
    </cfRule>
  </conditionalFormatting>
  <conditionalFormatting sqref="I133">
    <cfRule type="cellIs" dxfId="613" priority="175" operator="lessThan">
      <formula>0.1</formula>
    </cfRule>
  </conditionalFormatting>
  <conditionalFormatting sqref="I150">
    <cfRule type="cellIs" dxfId="612" priority="144" operator="lessThan">
      <formula>0.1</formula>
    </cfRule>
  </conditionalFormatting>
  <conditionalFormatting sqref="I167">
    <cfRule type="cellIs" dxfId="611" priority="68" operator="lessThan">
      <formula>0.1</formula>
    </cfRule>
  </conditionalFormatting>
  <conditionalFormatting sqref="J14:J27">
    <cfRule type="cellIs" dxfId="610" priority="485" operator="greaterThan">
      <formula>0</formula>
    </cfRule>
  </conditionalFormatting>
  <conditionalFormatting sqref="J31:J44">
    <cfRule type="cellIs" dxfId="609" priority="271" operator="greaterThan">
      <formula>0</formula>
    </cfRule>
  </conditionalFormatting>
  <conditionalFormatting sqref="J48:J61">
    <cfRule type="cellIs" dxfId="608" priority="258" operator="greaterThan">
      <formula>0</formula>
    </cfRule>
  </conditionalFormatting>
  <conditionalFormatting sqref="J65:J78">
    <cfRule type="cellIs" dxfId="607" priority="245" operator="greaterThan">
      <formula>0</formula>
    </cfRule>
  </conditionalFormatting>
  <conditionalFormatting sqref="J82:J95">
    <cfRule type="cellIs" dxfId="606" priority="232" operator="greaterThan">
      <formula>0</formula>
    </cfRule>
  </conditionalFormatting>
  <conditionalFormatting sqref="J99:J112">
    <cfRule type="cellIs" dxfId="605" priority="219" operator="greaterThan">
      <formula>0</formula>
    </cfRule>
  </conditionalFormatting>
  <conditionalFormatting sqref="J116:J129 J167:J180">
    <cfRule type="cellIs" dxfId="604" priority="206" operator="greaterThan">
      <formula>0</formula>
    </cfRule>
  </conditionalFormatting>
  <conditionalFormatting sqref="J133:J146">
    <cfRule type="cellIs" dxfId="603" priority="19" operator="greaterThan">
      <formula>0</formula>
    </cfRule>
  </conditionalFormatting>
  <conditionalFormatting sqref="J150:J163">
    <cfRule type="cellIs" dxfId="602" priority="8" operator="greaterThan">
      <formula>0</formula>
    </cfRule>
  </conditionalFormatting>
  <conditionalFormatting sqref="J183:J197">
    <cfRule type="expression" dxfId="601" priority="747">
      <formula>C183&gt;0</formula>
    </cfRule>
  </conditionalFormatting>
  <conditionalFormatting sqref="J199">
    <cfRule type="expression" dxfId="600" priority="752">
      <formula>#REF!="EURO"</formula>
    </cfRule>
  </conditionalFormatting>
  <conditionalFormatting sqref="K14:K27">
    <cfRule type="cellIs" dxfId="599" priority="499" operator="greaterThan">
      <formula>0</formula>
    </cfRule>
  </conditionalFormatting>
  <conditionalFormatting sqref="K31:K44">
    <cfRule type="cellIs" dxfId="598" priority="274" operator="greaterThan">
      <formula>0</formula>
    </cfRule>
  </conditionalFormatting>
  <conditionalFormatting sqref="K48:K61">
    <cfRule type="cellIs" dxfId="597" priority="261" operator="greaterThan">
      <formula>0</formula>
    </cfRule>
  </conditionalFormatting>
  <conditionalFormatting sqref="K65:K78">
    <cfRule type="cellIs" dxfId="596" priority="248" operator="greaterThan">
      <formula>0</formula>
    </cfRule>
  </conditionalFormatting>
  <conditionalFormatting sqref="K82:K95">
    <cfRule type="cellIs" dxfId="595" priority="235" operator="greaterThan">
      <formula>0</formula>
    </cfRule>
  </conditionalFormatting>
  <conditionalFormatting sqref="K99:K112">
    <cfRule type="cellIs" dxfId="594" priority="222" operator="greaterThan">
      <formula>0</formula>
    </cfRule>
  </conditionalFormatting>
  <conditionalFormatting sqref="K116:K129 K167:K180">
    <cfRule type="cellIs" dxfId="593" priority="209" operator="greaterThan">
      <formula>0</formula>
    </cfRule>
  </conditionalFormatting>
  <conditionalFormatting sqref="K133:K146">
    <cfRule type="cellIs" dxfId="592" priority="20" operator="greaterThan">
      <formula>0</formula>
    </cfRule>
  </conditionalFormatting>
  <conditionalFormatting sqref="K150:K163">
    <cfRule type="cellIs" dxfId="591" priority="9" operator="greaterThan">
      <formula>0</formula>
    </cfRule>
  </conditionalFormatting>
  <conditionalFormatting sqref="K183:K197">
    <cfRule type="cellIs" dxfId="590" priority="754" operator="greaterThan">
      <formula>0</formula>
    </cfRule>
  </conditionalFormatting>
  <conditionalFormatting sqref="K199">
    <cfRule type="expression" dxfId="589" priority="751">
      <formula>$B$9="EURO"</formula>
    </cfRule>
    <cfRule type="expression" dxfId="588" priority="750">
      <formula>$B$9="USD"</formula>
    </cfRule>
    <cfRule type="expression" dxfId="587" priority="749">
      <formula>$B$9="CZK"</formula>
    </cfRule>
    <cfRule type="expression" dxfId="586" priority="748">
      <formula>$B$9="PLN"</formula>
    </cfRule>
  </conditionalFormatting>
  <conditionalFormatting sqref="L14:L27">
    <cfRule type="expression" dxfId="585" priority="496">
      <formula>$C$9&lt;0</formula>
    </cfRule>
    <cfRule type="expression" dxfId="584" priority="497">
      <formula>$C$9&gt;0</formula>
    </cfRule>
  </conditionalFormatting>
  <conditionalFormatting sqref="L31:L44">
    <cfRule type="expression" dxfId="583" priority="205">
      <formula>$C$9&gt;0</formula>
    </cfRule>
    <cfRule type="expression" dxfId="582" priority="204">
      <formula>$C$9&lt;0</formula>
    </cfRule>
  </conditionalFormatting>
  <conditionalFormatting sqref="L48:L61">
    <cfRule type="expression" dxfId="581" priority="203">
      <formula>$C$9&gt;0</formula>
    </cfRule>
    <cfRule type="expression" dxfId="580" priority="202">
      <formula>$C$9&lt;0</formula>
    </cfRule>
  </conditionalFormatting>
  <conditionalFormatting sqref="L65:L78">
    <cfRule type="expression" dxfId="579" priority="200">
      <formula>$C$9&lt;0</formula>
    </cfRule>
    <cfRule type="expression" dxfId="578" priority="201">
      <formula>$C$9&gt;0</formula>
    </cfRule>
  </conditionalFormatting>
  <conditionalFormatting sqref="L82:L95">
    <cfRule type="expression" dxfId="577" priority="198">
      <formula>$C$9&lt;0</formula>
    </cfRule>
    <cfRule type="expression" dxfId="576" priority="199">
      <formula>$C$9&gt;0</formula>
    </cfRule>
  </conditionalFormatting>
  <conditionalFormatting sqref="L99:L112">
    <cfRule type="expression" dxfId="575" priority="196">
      <formula>$C$9&lt;0</formula>
    </cfRule>
    <cfRule type="expression" dxfId="574" priority="197">
      <formula>$C$9&gt;0</formula>
    </cfRule>
  </conditionalFormatting>
  <conditionalFormatting sqref="L116:L129 L167:L180">
    <cfRule type="expression" dxfId="573" priority="194">
      <formula>$C$9&lt;0</formula>
    </cfRule>
    <cfRule type="expression" dxfId="572" priority="195">
      <formula>$C$9&gt;0</formula>
    </cfRule>
  </conditionalFormatting>
  <conditionalFormatting sqref="L133:L146">
    <cfRule type="expression" dxfId="571" priority="3">
      <formula>$C$9&lt;0</formula>
    </cfRule>
    <cfRule type="expression" dxfId="570" priority="4">
      <formula>$C$9&gt;0</formula>
    </cfRule>
  </conditionalFormatting>
  <conditionalFormatting sqref="L150:L163">
    <cfRule type="expression" dxfId="569" priority="1">
      <formula>$C$9&lt;0</formula>
    </cfRule>
    <cfRule type="expression" dxfId="568" priority="2">
      <formula>$C$9&gt;0</formula>
    </cfRule>
  </conditionalFormatting>
  <conditionalFormatting sqref="L183:L197">
    <cfRule type="expression" dxfId="567" priority="193">
      <formula>$C$9&gt;0</formula>
    </cfRule>
    <cfRule type="expression" dxfId="566" priority="192">
      <formula>$C$9&lt;0</formula>
    </cfRule>
  </conditionalFormatting>
  <conditionalFormatting sqref="N9 N12">
    <cfRule type="expression" dxfId="565" priority="784">
      <formula>$B$9="PLN"</formula>
    </cfRule>
    <cfRule type="expression" dxfId="564" priority="787">
      <formula>$B$9="EURO"</formula>
    </cfRule>
    <cfRule type="expression" dxfId="563" priority="786">
      <formula>$B$9="USD"</formula>
    </cfRule>
    <cfRule type="expression" dxfId="562" priority="785">
      <formula>$B$9="CZK"</formula>
    </cfRule>
  </conditionalFormatting>
  <conditionalFormatting sqref="N14:N27">
    <cfRule type="cellIs" dxfId="561" priority="721" operator="greaterThan">
      <formula>0</formula>
    </cfRule>
    <cfRule type="expression" dxfId="560" priority="725">
      <formula>$B$9="CZK"</formula>
    </cfRule>
    <cfRule type="expression" dxfId="559" priority="724">
      <formula>$B$9="PLN"</formula>
    </cfRule>
    <cfRule type="expression" dxfId="558" priority="723">
      <formula>$B$9="USD"</formula>
    </cfRule>
    <cfRule type="expression" dxfId="557" priority="722">
      <formula>$B$9="EURO"</formula>
    </cfRule>
  </conditionalFormatting>
  <conditionalFormatting sqref="N29">
    <cfRule type="expression" dxfId="556" priority="701">
      <formula>$B$9="PLN"</formula>
    </cfRule>
    <cfRule type="expression" dxfId="555" priority="702">
      <formula>$B$9="CZK"</formula>
    </cfRule>
    <cfRule type="expression" dxfId="554" priority="703">
      <formula>$B$9="USD"</formula>
    </cfRule>
    <cfRule type="expression" dxfId="553" priority="704">
      <formula>$B$9="EURO"</formula>
    </cfRule>
  </conditionalFormatting>
  <conditionalFormatting sqref="N31:N44">
    <cfRule type="cellIs" dxfId="552" priority="277" operator="greaterThan">
      <formula>0</formula>
    </cfRule>
    <cfRule type="expression" dxfId="551" priority="278">
      <formula>$B$9="EURO"</formula>
    </cfRule>
    <cfRule type="expression" dxfId="550" priority="279">
      <formula>$B$9="USD"</formula>
    </cfRule>
    <cfRule type="expression" dxfId="549" priority="280">
      <formula>$B$9="PLN"</formula>
    </cfRule>
    <cfRule type="expression" dxfId="548" priority="281">
      <formula>$B$9="CZK"</formula>
    </cfRule>
  </conditionalFormatting>
  <conditionalFormatting sqref="N46">
    <cfRule type="expression" dxfId="547" priority="672">
      <formula>$B$9="EURO"</formula>
    </cfRule>
    <cfRule type="expression" dxfId="546" priority="671">
      <formula>$B$9="USD"</formula>
    </cfRule>
    <cfRule type="expression" dxfId="545" priority="670">
      <formula>$B$9="CZK"</formula>
    </cfRule>
    <cfRule type="expression" dxfId="544" priority="669">
      <formula>$B$9="PLN"</formula>
    </cfRule>
  </conditionalFormatting>
  <conditionalFormatting sqref="N48:N61">
    <cfRule type="cellIs" dxfId="543" priority="264" operator="greaterThan">
      <formula>0</formula>
    </cfRule>
    <cfRule type="expression" dxfId="542" priority="266">
      <formula>$B$9="USD"</formula>
    </cfRule>
    <cfRule type="expression" dxfId="541" priority="268">
      <formula>$B$9="CZK"</formula>
    </cfRule>
    <cfRule type="expression" dxfId="540" priority="267">
      <formula>$B$9="PLN"</formula>
    </cfRule>
    <cfRule type="expression" dxfId="539" priority="265">
      <formula>$B$9="EURO"</formula>
    </cfRule>
  </conditionalFormatting>
  <conditionalFormatting sqref="N63">
    <cfRule type="expression" dxfId="538" priority="639">
      <formula>$B$9="PLN"</formula>
    </cfRule>
    <cfRule type="expression" dxfId="537" priority="640">
      <formula>$B$9="CZK"</formula>
    </cfRule>
    <cfRule type="expression" dxfId="536" priority="641">
      <formula>$B$9="USD"</formula>
    </cfRule>
    <cfRule type="expression" dxfId="535" priority="642">
      <formula>$B$9="EURO"</formula>
    </cfRule>
  </conditionalFormatting>
  <conditionalFormatting sqref="N65:N78">
    <cfRule type="expression" dxfId="534" priority="255">
      <formula>$B$9="CZK"</formula>
    </cfRule>
    <cfRule type="expression" dxfId="533" priority="254">
      <formula>$B$9="PLN"</formula>
    </cfRule>
    <cfRule type="expression" dxfId="532" priority="253">
      <formula>$B$9="USD"</formula>
    </cfRule>
    <cfRule type="expression" dxfId="531" priority="252">
      <formula>$B$9="EURO"</formula>
    </cfRule>
    <cfRule type="cellIs" dxfId="530" priority="251" operator="greaterThan">
      <formula>0</formula>
    </cfRule>
  </conditionalFormatting>
  <conditionalFormatting sqref="N80">
    <cfRule type="expression" dxfId="529" priority="608">
      <formula>$B$9="PLN"</formula>
    </cfRule>
    <cfRule type="expression" dxfId="528" priority="611">
      <formula>$B$9="EURO"</formula>
    </cfRule>
    <cfRule type="expression" dxfId="527" priority="610">
      <formula>$B$9="USD"</formula>
    </cfRule>
    <cfRule type="expression" dxfId="526" priority="609">
      <formula>$B$9="CZK"</formula>
    </cfRule>
  </conditionalFormatting>
  <conditionalFormatting sqref="N82:N95">
    <cfRule type="expression" dxfId="525" priority="242">
      <formula>$B$9="CZK"</formula>
    </cfRule>
    <cfRule type="expression" dxfId="524" priority="241">
      <formula>$B$9="PLN"</formula>
    </cfRule>
    <cfRule type="expression" dxfId="523" priority="240">
      <formula>$B$9="USD"</formula>
    </cfRule>
    <cfRule type="expression" dxfId="522" priority="239">
      <formula>$B$9="EURO"</formula>
    </cfRule>
    <cfRule type="cellIs" dxfId="521" priority="238" operator="greaterThan">
      <formula>0</formula>
    </cfRule>
  </conditionalFormatting>
  <conditionalFormatting sqref="N97">
    <cfRule type="expression" dxfId="520" priority="576">
      <formula>$B$9="PLN"</formula>
    </cfRule>
    <cfRule type="expression" dxfId="519" priority="577">
      <formula>$B$9="CZK"</formula>
    </cfRule>
    <cfRule type="expression" dxfId="518" priority="578">
      <formula>$B$9="USD"</formula>
    </cfRule>
    <cfRule type="expression" dxfId="517" priority="579">
      <formula>$B$9="EURO"</formula>
    </cfRule>
  </conditionalFormatting>
  <conditionalFormatting sqref="N99:N112">
    <cfRule type="expression" dxfId="516" priority="227">
      <formula>$B$9="USD"</formula>
    </cfRule>
    <cfRule type="cellIs" dxfId="515" priority="225" operator="greaterThan">
      <formula>0</formula>
    </cfRule>
    <cfRule type="expression" dxfId="514" priority="229">
      <formula>$B$9="CZK"</formula>
    </cfRule>
    <cfRule type="expression" dxfId="513" priority="228">
      <formula>$B$9="PLN"</formula>
    </cfRule>
    <cfRule type="expression" dxfId="512" priority="226">
      <formula>$B$9="EURO"</formula>
    </cfRule>
  </conditionalFormatting>
  <conditionalFormatting sqref="N114">
    <cfRule type="expression" dxfId="511" priority="347">
      <formula>$B$9="PLN"</formula>
    </cfRule>
    <cfRule type="expression" dxfId="510" priority="348">
      <formula>$B$9="CZK"</formula>
    </cfRule>
    <cfRule type="expression" dxfId="509" priority="349">
      <formula>$B$9="USD"</formula>
    </cfRule>
    <cfRule type="expression" dxfId="508" priority="350">
      <formula>$B$9="EURO"</formula>
    </cfRule>
  </conditionalFormatting>
  <conditionalFormatting sqref="N116:N129 N167:N180">
    <cfRule type="cellIs" dxfId="507" priority="212" operator="greaterThan">
      <formula>0</formula>
    </cfRule>
    <cfRule type="expression" dxfId="506" priority="213">
      <formula>$B$9="EURO"</formula>
    </cfRule>
    <cfRule type="expression" dxfId="505" priority="214">
      <formula>$B$9="USD"</formula>
    </cfRule>
    <cfRule type="expression" dxfId="504" priority="215">
      <formula>$B$9="PLN"</formula>
    </cfRule>
    <cfRule type="expression" dxfId="503" priority="216">
      <formula>$B$9="CZK"</formula>
    </cfRule>
  </conditionalFormatting>
  <conditionalFormatting sqref="N131">
    <cfRule type="expression" dxfId="502" priority="184">
      <formula>$B$9="PLN"</formula>
    </cfRule>
    <cfRule type="expression" dxfId="501" priority="187">
      <formula>$B$9="EURO"</formula>
    </cfRule>
    <cfRule type="expression" dxfId="500" priority="186">
      <formula>$B$9="USD"</formula>
    </cfRule>
    <cfRule type="expression" dxfId="499" priority="185">
      <formula>$B$9="CZK"</formula>
    </cfRule>
  </conditionalFormatting>
  <conditionalFormatting sqref="N133:N146">
    <cfRule type="cellIs" dxfId="498" priority="23" operator="greaterThan">
      <formula>0</formula>
    </cfRule>
    <cfRule type="expression" dxfId="497" priority="24">
      <formula>$B$9="EURO"</formula>
    </cfRule>
    <cfRule type="expression" dxfId="496" priority="25">
      <formula>$B$9="USD"</formula>
    </cfRule>
    <cfRule type="expression" dxfId="495" priority="26">
      <formula>$B$9="PLN"</formula>
    </cfRule>
    <cfRule type="expression" dxfId="494" priority="27">
      <formula>$B$9="CZK"</formula>
    </cfRule>
  </conditionalFormatting>
  <conditionalFormatting sqref="N148">
    <cfRule type="expression" dxfId="493" priority="156">
      <formula>$B$9="EURO"</formula>
    </cfRule>
    <cfRule type="expression" dxfId="492" priority="155">
      <formula>$B$9="USD"</formula>
    </cfRule>
    <cfRule type="expression" dxfId="491" priority="154">
      <formula>$B$9="CZK"</formula>
    </cfRule>
    <cfRule type="expression" dxfId="490" priority="153">
      <formula>$B$9="PLN"</formula>
    </cfRule>
  </conditionalFormatting>
  <conditionalFormatting sqref="N150:N163">
    <cfRule type="cellIs" dxfId="489" priority="12" operator="greaterThan">
      <formula>0</formula>
    </cfRule>
    <cfRule type="expression" dxfId="488" priority="13">
      <formula>$B$9="EURO"</formula>
    </cfRule>
    <cfRule type="expression" dxfId="487" priority="14">
      <formula>$B$9="USD"</formula>
    </cfRule>
    <cfRule type="expression" dxfId="486" priority="15">
      <formula>$B$9="PLN"</formula>
    </cfRule>
    <cfRule type="expression" dxfId="485" priority="16">
      <formula>$B$9="CZK"</formula>
    </cfRule>
  </conditionalFormatting>
  <conditionalFormatting sqref="N165">
    <cfRule type="expression" dxfId="484" priority="79">
      <formula>$B$9="USD"</formula>
    </cfRule>
    <cfRule type="expression" dxfId="483" priority="80">
      <formula>$B$9="EURO"</formula>
    </cfRule>
    <cfRule type="expression" dxfId="482" priority="77">
      <formula>$B$9="PLN"</formula>
    </cfRule>
    <cfRule type="expression" dxfId="481" priority="78">
      <formula>$B$9="CZK"</formula>
    </cfRule>
  </conditionalFormatting>
  <conditionalFormatting sqref="N183:N197">
    <cfRule type="cellIs" dxfId="480" priority="729" operator="greaterThan">
      <formula>0</formula>
    </cfRule>
    <cfRule type="expression" dxfId="479" priority="730">
      <formula>$B$9="EURO"</formula>
    </cfRule>
    <cfRule type="expression" dxfId="478" priority="731">
      <formula>$B$9="USD"</formula>
    </cfRule>
    <cfRule type="expression" dxfId="477" priority="733">
      <formula>$B$9="CZK"</formula>
    </cfRule>
    <cfRule type="expression" dxfId="476" priority="732">
      <formula>$B$9="PLN"</formula>
    </cfRule>
  </conditionalFormatting>
  <conditionalFormatting sqref="N182:O182">
    <cfRule type="expression" dxfId="475" priority="741">
      <formula>$B$9="USD"</formula>
    </cfRule>
    <cfRule type="expression" dxfId="474" priority="742">
      <formula>$B$9="EURO"</formula>
    </cfRule>
    <cfRule type="expression" dxfId="473" priority="740">
      <formula>$B$9="CZK"</formula>
    </cfRule>
    <cfRule type="expression" dxfId="472" priority="739">
      <formula>$B$9="PLN"</formula>
    </cfRule>
  </conditionalFormatting>
  <conditionalFormatting sqref="O14:O27">
    <cfRule type="cellIs" dxfId="471" priority="726" operator="greaterThan">
      <formula>0</formula>
    </cfRule>
  </conditionalFormatting>
  <conditionalFormatting sqref="O31:O44">
    <cfRule type="cellIs" dxfId="470" priority="282" operator="greaterThan">
      <formula>0</formula>
    </cfRule>
  </conditionalFormatting>
  <conditionalFormatting sqref="O48:O61">
    <cfRule type="cellIs" dxfId="469" priority="269" operator="greaterThan">
      <formula>0</formula>
    </cfRule>
  </conditionalFormatting>
  <conditionalFormatting sqref="O65:O78">
    <cfRule type="cellIs" dxfId="468" priority="256" operator="greaterThan">
      <formula>0</formula>
    </cfRule>
  </conditionalFormatting>
  <conditionalFormatting sqref="O82:O95">
    <cfRule type="cellIs" dxfId="467" priority="243" operator="greaterThan">
      <formula>0</formula>
    </cfRule>
  </conditionalFormatting>
  <conditionalFormatting sqref="O99:O112">
    <cfRule type="cellIs" dxfId="466" priority="230" operator="greaterThan">
      <formula>0</formula>
    </cfRule>
  </conditionalFormatting>
  <conditionalFormatting sqref="O116:O129 O167:O180">
    <cfRule type="cellIs" dxfId="465" priority="217" operator="greaterThan">
      <formula>0</formula>
    </cfRule>
  </conditionalFormatting>
  <conditionalFormatting sqref="O133:O146">
    <cfRule type="cellIs" dxfId="464" priority="28" operator="greaterThan">
      <formula>0</formula>
    </cfRule>
  </conditionalFormatting>
  <conditionalFormatting sqref="O150:O163">
    <cfRule type="cellIs" dxfId="463" priority="17" operator="greaterThan">
      <formula>0</formula>
    </cfRule>
  </conditionalFormatting>
  <conditionalFormatting sqref="O183:O197">
    <cfRule type="cellIs" dxfId="462" priority="753" operator="greaterThan">
      <formula>0</formula>
    </cfRule>
  </conditionalFormatting>
  <conditionalFormatting sqref="Q16">
    <cfRule type="expression" dxfId="461" priority="490">
      <formula>$B$9="CZK"</formula>
    </cfRule>
    <cfRule type="expression" dxfId="460" priority="489">
      <formula>$B$9="PLN"</formula>
    </cfRule>
    <cfRule type="expression" dxfId="459" priority="488">
      <formula>$B$9="USD"</formula>
    </cfRule>
    <cfRule type="expression" dxfId="458" priority="487">
      <formula>$B$9="EURO"</formula>
    </cfRule>
    <cfRule type="cellIs" dxfId="457" priority="486" operator="greaterThan">
      <formula>0</formula>
    </cfRule>
  </conditionalFormatting>
  <dataValidations count="7">
    <dataValidation type="list" allowBlank="1" showInputMessage="1" showErrorMessage="1" sqref="C27 C78 C95 C44 C61 C112 C129 C146 C163 C180" xr:uid="{FB7876D2-F8AB-452D-B5B8-E19DE8047C64}">
      <formula1>"0,0.5,1,1.5,2,2.5,3,3.5,4,4.5,5"</formula1>
    </dataValidation>
    <dataValidation type="list" allowBlank="1" showInputMessage="1" showErrorMessage="1" errorTitle="Minimum number of sections " error="Must be greater than zero" sqref="H14 H65 H48 H31 H82 H99 H116 H133 H150 H167" xr:uid="{4FE552E8-F032-4798-8F07-ECD47B2CABBA}">
      <formula1>"1,2,3,4,5,6,7,8,9,10"</formula1>
    </dataValidation>
    <dataValidation type="list" allowBlank="1" showInputMessage="1" showErrorMessage="1" sqref="C71:C72 C37:C38 C88:C89 C20:C21 I84 I16 C54:C55 I67 I33 I50 C105:C106 I101 C122:C123 I118 C139:C140 I135 C156:C157 I152 C173:C174 I169" xr:uid="{122DA972-3373-4D77-BE14-EFCD3F0F8B47}">
      <formula1>"0,1,2,3,4,5,6,7,8,9,10,11,12,13,14,15,16,17,18,19,20"</formula1>
    </dataValidation>
    <dataValidation operator="greaterThan" allowBlank="1" showInputMessage="1" showErrorMessage="1" sqref="E14 E65 E48 E31 E82 E99 E116 E133 E150 E167" xr:uid="{954D9280-FF99-4E5D-916E-A45A9C9116AB}"/>
    <dataValidation type="list" allowBlank="1" showInputMessage="1" showErrorMessage="1" sqref="C99 C31 C82 C65 C48 C14 C116 C150 C133 C167" xr:uid="{A1B33BC9-FBD7-443E-9165-F2265D1CD02E}">
      <formula1>"WALL, ISLAND"</formula1>
    </dataValidation>
    <dataValidation type="list" allowBlank="1" showInputMessage="1" showErrorMessage="1" sqref="G181" xr:uid="{694E9951-0BD0-4FD6-9B73-EF8C05E4824F}">
      <formula1>#REF!</formula1>
    </dataValidation>
    <dataValidation type="list" allowBlank="1" showInputMessage="1" showErrorMessage="1" sqref="D26 D94 D77 D60 D43 D111 D128 D145 D162 D179" xr:uid="{4131F884-2C45-49F9-A119-468469376302}">
      <formula1>"0,1,2,3,4,5,6,7,8,9,10"</formula1>
    </dataValidation>
  </dataValidations>
  <printOptions horizontalCentered="1"/>
  <pageMargins left="0.19685039370078741" right="0.19685039370078741" top="0.19685039370078741" bottom="0.19685039370078741" header="0.11811023622047245" footer="0.15748031496062992"/>
  <pageSetup paperSize="9" scale="42" orientation="portrait" r:id="rId1"/>
  <headerFooter alignWithMargins="0">
    <oddFooter>&amp;L&amp;8&amp;Z&amp;F</oddFooter>
  </headerFooter>
  <ignoredErrors>
    <ignoredError sqref="K15:K16 L12 L29 K32:K33 L46 K49:K50 K66 L80 K83 K100 L97 L114 K117:K118 L131 K134 L148 K151 L165 K168:K169"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727" operator="containsText" id="{BEFFD306-1692-476E-8506-019524728BF6}">
            <xm:f>NOT(ISERROR(SEARCH("SELECT WORKS",C18)))</xm:f>
            <xm:f>"SELECT WORKS"</xm:f>
            <x14:dxf>
              <font>
                <b/>
                <i val="0"/>
                <color rgb="FFC00000"/>
              </font>
              <fill>
                <patternFill>
                  <bgColor theme="0"/>
                </patternFill>
              </fill>
            </x14:dxf>
          </x14:cfRule>
          <xm:sqref>C18</xm:sqref>
        </x14:conditionalFormatting>
        <x14:conditionalFormatting xmlns:xm="http://schemas.microsoft.com/office/excel/2006/main">
          <x14:cfRule type="containsText" priority="745" operator="containsText" id="{52D2B3AF-B3DC-462C-A6D2-7B5B4AED603E}">
            <xm:f>NOT(ISERROR(SEARCH("SELECT CLADDING",C19)))</xm:f>
            <xm:f>"SELECT CLADDING"</xm:f>
            <x14:dxf>
              <font>
                <b/>
                <i val="0"/>
                <color rgb="FFC00000"/>
              </font>
              <fill>
                <patternFill>
                  <bgColor theme="0"/>
                </patternFill>
              </fill>
            </x14:dxf>
          </x14:cfRule>
          <xm:sqref>C19</xm:sqref>
        </x14:conditionalFormatting>
        <x14:conditionalFormatting xmlns:xm="http://schemas.microsoft.com/office/excel/2006/main">
          <x14:cfRule type="containsText" priority="681" operator="containsText" id="{8AA8F730-B37C-4DC5-A790-2D4C056F2A65}">
            <xm:f>NOT(ISERROR(SEARCH("SELECT WORKS",C35)))</xm:f>
            <xm:f>"SELECT WORKS"</xm:f>
            <x14:dxf>
              <font>
                <b/>
                <i val="0"/>
                <color rgb="FFC00000"/>
              </font>
              <fill>
                <patternFill>
                  <bgColor theme="0"/>
                </patternFill>
              </fill>
            </x14:dxf>
          </x14:cfRule>
          <xm:sqref>C35</xm:sqref>
        </x14:conditionalFormatting>
        <x14:conditionalFormatting xmlns:xm="http://schemas.microsoft.com/office/excel/2006/main">
          <x14:cfRule type="containsText" priority="684" operator="containsText" id="{C13742DB-DDCE-4A8D-ADC1-B4AB192404D5}">
            <xm:f>NOT(ISERROR(SEARCH("SELECT CLADDING",C36)))</xm:f>
            <xm:f>"SELECT CLADDING"</xm:f>
            <x14:dxf>
              <font>
                <b/>
                <i val="0"/>
                <color rgb="FFC00000"/>
              </font>
              <fill>
                <patternFill>
                  <bgColor theme="0"/>
                </patternFill>
              </fill>
            </x14:dxf>
          </x14:cfRule>
          <xm:sqref>C36</xm:sqref>
        </x14:conditionalFormatting>
        <x14:conditionalFormatting xmlns:xm="http://schemas.microsoft.com/office/excel/2006/main">
          <x14:cfRule type="containsText" priority="650" operator="containsText" id="{6C68C9C8-C110-4496-A7CD-C13E73FD68D6}">
            <xm:f>NOT(ISERROR(SEARCH("SELECT WORKS",C52)))</xm:f>
            <xm:f>"SELECT WORKS"</xm:f>
            <x14:dxf>
              <font>
                <b/>
                <i val="0"/>
                <color rgb="FFC00000"/>
              </font>
              <fill>
                <patternFill>
                  <bgColor theme="0"/>
                </patternFill>
              </fill>
            </x14:dxf>
          </x14:cfRule>
          <xm:sqref>C52</xm:sqref>
        </x14:conditionalFormatting>
        <x14:conditionalFormatting xmlns:xm="http://schemas.microsoft.com/office/excel/2006/main">
          <x14:cfRule type="containsText" priority="653" operator="containsText" id="{18B87946-F97A-4D85-812C-29730FE7CCE7}">
            <xm:f>NOT(ISERROR(SEARCH("SELECT CLADDING",C53)))</xm:f>
            <xm:f>"SELECT CLADDING"</xm:f>
            <x14:dxf>
              <font>
                <b/>
                <i val="0"/>
                <color rgb="FFC00000"/>
              </font>
              <fill>
                <patternFill>
                  <bgColor theme="0"/>
                </patternFill>
              </fill>
            </x14:dxf>
          </x14:cfRule>
          <xm:sqref>C53</xm:sqref>
        </x14:conditionalFormatting>
        <x14:conditionalFormatting xmlns:xm="http://schemas.microsoft.com/office/excel/2006/main">
          <x14:cfRule type="containsText" priority="619" operator="containsText" id="{EF7CCF9B-6425-4780-BA08-506109C68C7C}">
            <xm:f>NOT(ISERROR(SEARCH("SELECT WORKS",C69)))</xm:f>
            <xm:f>"SELECT WORKS"</xm:f>
            <x14:dxf>
              <font>
                <b/>
                <i val="0"/>
                <color rgb="FFC00000"/>
              </font>
              <fill>
                <patternFill>
                  <bgColor theme="0"/>
                </patternFill>
              </fill>
            </x14:dxf>
          </x14:cfRule>
          <xm:sqref>C69</xm:sqref>
        </x14:conditionalFormatting>
        <x14:conditionalFormatting xmlns:xm="http://schemas.microsoft.com/office/excel/2006/main">
          <x14:cfRule type="containsText" priority="623" operator="containsText" id="{757E3A84-9BC2-4212-A4EE-2E0FB0C1B9A4}">
            <xm:f>NOT(ISERROR(SEARCH("SELECT CLADDING",C70)))</xm:f>
            <xm:f>"SELECT CLADDING"</xm:f>
            <x14:dxf>
              <font>
                <b/>
                <i val="0"/>
                <color rgb="FFC00000"/>
              </font>
              <fill>
                <patternFill>
                  <bgColor theme="0"/>
                </patternFill>
              </fill>
            </x14:dxf>
          </x14:cfRule>
          <xm:sqref>C70</xm:sqref>
        </x14:conditionalFormatting>
        <x14:conditionalFormatting xmlns:xm="http://schemas.microsoft.com/office/excel/2006/main">
          <x14:cfRule type="containsText" priority="587" operator="containsText" id="{4A1B643F-3F2F-4082-ADF9-5C9651272C8D}">
            <xm:f>NOT(ISERROR(SEARCH("SELECT WORKS",C86)))</xm:f>
            <xm:f>"SELECT WORKS"</xm:f>
            <x14:dxf>
              <font>
                <b/>
                <i val="0"/>
                <color rgb="FFC00000"/>
              </font>
              <fill>
                <patternFill>
                  <bgColor theme="0"/>
                </patternFill>
              </fill>
            </x14:dxf>
          </x14:cfRule>
          <xm:sqref>C86</xm:sqref>
        </x14:conditionalFormatting>
        <x14:conditionalFormatting xmlns:xm="http://schemas.microsoft.com/office/excel/2006/main">
          <x14:cfRule type="containsText" priority="591" operator="containsText" id="{465461F8-B746-42D5-A26E-9414A46531B9}">
            <xm:f>NOT(ISERROR(SEARCH("SELECT CLADDING",C87)))</xm:f>
            <xm:f>"SELECT CLADDING"</xm:f>
            <x14:dxf>
              <font>
                <b/>
                <i val="0"/>
                <color rgb="FFC00000"/>
              </font>
              <fill>
                <patternFill>
                  <bgColor theme="0"/>
                </patternFill>
              </fill>
            </x14:dxf>
          </x14:cfRule>
          <xm:sqref>C87</xm:sqref>
        </x14:conditionalFormatting>
        <x14:conditionalFormatting xmlns:xm="http://schemas.microsoft.com/office/excel/2006/main">
          <x14:cfRule type="containsText" priority="556" operator="containsText" id="{74F93450-8861-459C-94F6-A90CEE49BC76}">
            <xm:f>NOT(ISERROR(SEARCH("SELECT WORKS",C103)))</xm:f>
            <xm:f>"SELECT WORKS"</xm:f>
            <x14:dxf>
              <font>
                <b/>
                <i val="0"/>
                <color rgb="FFC00000"/>
              </font>
              <fill>
                <patternFill>
                  <bgColor theme="0"/>
                </patternFill>
              </fill>
            </x14:dxf>
          </x14:cfRule>
          <xm:sqref>C103</xm:sqref>
        </x14:conditionalFormatting>
        <x14:conditionalFormatting xmlns:xm="http://schemas.microsoft.com/office/excel/2006/main">
          <x14:cfRule type="containsText" priority="559" operator="containsText" id="{2FF563AB-A70E-4A97-B0FE-3DD54B058590}">
            <xm:f>NOT(ISERROR(SEARCH("SELECT CLADDING",C104)))</xm:f>
            <xm:f>"SELECT CLADDING"</xm:f>
            <x14:dxf>
              <font>
                <b/>
                <i val="0"/>
                <color rgb="FFC00000"/>
              </font>
              <fill>
                <patternFill>
                  <bgColor theme="0"/>
                </patternFill>
              </fill>
            </x14:dxf>
          </x14:cfRule>
          <xm:sqref>C104</xm:sqref>
        </x14:conditionalFormatting>
        <x14:conditionalFormatting xmlns:xm="http://schemas.microsoft.com/office/excel/2006/main">
          <x14:cfRule type="containsText" priority="327" operator="containsText" id="{69CB2625-3EBE-4C3B-8302-5D530AF32208}">
            <xm:f>NOT(ISERROR(SEARCH("SELECT WORKS",C120)))</xm:f>
            <xm:f>"SELECT WORKS"</xm:f>
            <x14:dxf>
              <font>
                <b/>
                <i val="0"/>
                <color rgb="FFC00000"/>
              </font>
              <fill>
                <patternFill>
                  <bgColor theme="0"/>
                </patternFill>
              </fill>
            </x14:dxf>
          </x14:cfRule>
          <xm:sqref>C120</xm:sqref>
        </x14:conditionalFormatting>
        <x14:conditionalFormatting xmlns:xm="http://schemas.microsoft.com/office/excel/2006/main">
          <x14:cfRule type="containsText" priority="330" operator="containsText" id="{74119339-1A34-4486-9329-FFBBB1B0672B}">
            <xm:f>NOT(ISERROR(SEARCH("SELECT CLADDING",C121)))</xm:f>
            <xm:f>"SELECT CLADDING"</xm:f>
            <x14:dxf>
              <font>
                <b/>
                <i val="0"/>
                <color rgb="FFC00000"/>
              </font>
              <fill>
                <patternFill>
                  <bgColor theme="0"/>
                </patternFill>
              </fill>
            </x14:dxf>
          </x14:cfRule>
          <xm:sqref>C121</xm:sqref>
        </x14:conditionalFormatting>
        <x14:conditionalFormatting xmlns:xm="http://schemas.microsoft.com/office/excel/2006/main">
          <x14:cfRule type="containsText" priority="163" operator="containsText" id="{1F968E7E-767E-4893-B8DF-35CC922F7665}">
            <xm:f>NOT(ISERROR(SEARCH("SELECT WORKS",C137)))</xm:f>
            <xm:f>"SELECT WORKS"</xm:f>
            <x14:dxf>
              <font>
                <b/>
                <i val="0"/>
                <color rgb="FFC00000"/>
              </font>
              <fill>
                <patternFill>
                  <bgColor theme="0"/>
                </patternFill>
              </fill>
            </x14:dxf>
          </x14:cfRule>
          <xm:sqref>C137</xm:sqref>
        </x14:conditionalFormatting>
        <x14:conditionalFormatting xmlns:xm="http://schemas.microsoft.com/office/excel/2006/main">
          <x14:cfRule type="containsText" priority="167" operator="containsText" id="{3AF20D4F-4E2A-4C2D-927E-496ED53D676B}">
            <xm:f>NOT(ISERROR(SEARCH("SELECT CLADDING",C138)))</xm:f>
            <xm:f>"SELECT CLADDING"</xm:f>
            <x14:dxf>
              <font>
                <b/>
                <i val="0"/>
                <color rgb="FFC00000"/>
              </font>
              <fill>
                <patternFill>
                  <bgColor theme="0"/>
                </patternFill>
              </fill>
            </x14:dxf>
          </x14:cfRule>
          <xm:sqref>C138</xm:sqref>
        </x14:conditionalFormatting>
        <x14:conditionalFormatting xmlns:xm="http://schemas.microsoft.com/office/excel/2006/main">
          <x14:cfRule type="containsText" priority="133" operator="containsText" id="{E1889F1C-1935-4A8A-A4D2-D75BB5C7AC77}">
            <xm:f>NOT(ISERROR(SEARCH("SELECT WORKS",C154)))</xm:f>
            <xm:f>"SELECT WORKS"</xm:f>
            <x14:dxf>
              <font>
                <b/>
                <i val="0"/>
                <color rgb="FFC00000"/>
              </font>
              <fill>
                <patternFill>
                  <bgColor theme="0"/>
                </patternFill>
              </fill>
            </x14:dxf>
          </x14:cfRule>
          <xm:sqref>C154</xm:sqref>
        </x14:conditionalFormatting>
        <x14:conditionalFormatting xmlns:xm="http://schemas.microsoft.com/office/excel/2006/main">
          <x14:cfRule type="containsText" priority="136" operator="containsText" id="{42D8C863-6F80-4837-A5DB-6B4AD9C355D9}">
            <xm:f>NOT(ISERROR(SEARCH("SELECT CLADDING",C155)))</xm:f>
            <xm:f>"SELECT CLADDING"</xm:f>
            <x14:dxf>
              <font>
                <b/>
                <i val="0"/>
                <color rgb="FFC00000"/>
              </font>
              <fill>
                <patternFill>
                  <bgColor theme="0"/>
                </patternFill>
              </fill>
            </x14:dxf>
          </x14:cfRule>
          <xm:sqref>C155</xm:sqref>
        </x14:conditionalFormatting>
        <x14:conditionalFormatting xmlns:xm="http://schemas.microsoft.com/office/excel/2006/main">
          <x14:cfRule type="containsText" priority="57" operator="containsText" id="{EDE79650-B85D-4FDE-A872-73F3B387B870}">
            <xm:f>NOT(ISERROR(SEARCH("SELECT WORKS",C171)))</xm:f>
            <xm:f>"SELECT WORKS"</xm:f>
            <x14:dxf>
              <font>
                <b/>
                <i val="0"/>
                <color rgb="FFC00000"/>
              </font>
              <fill>
                <patternFill>
                  <bgColor theme="0"/>
                </patternFill>
              </fill>
            </x14:dxf>
          </x14:cfRule>
          <xm:sqref>C171</xm:sqref>
        </x14:conditionalFormatting>
        <x14:conditionalFormatting xmlns:xm="http://schemas.microsoft.com/office/excel/2006/main">
          <x14:cfRule type="containsText" priority="60" operator="containsText" id="{758FF066-9E94-49BC-B425-72318EA90869}">
            <xm:f>NOT(ISERROR(SEARCH("SELECT CLADDING",C172)))</xm:f>
            <xm:f>"SELECT CLADDING"</xm:f>
            <x14:dxf>
              <font>
                <b/>
                <i val="0"/>
                <color rgb="FFC00000"/>
              </font>
              <fill>
                <patternFill>
                  <bgColor theme="0"/>
                </patternFill>
              </fill>
            </x14:dxf>
          </x14:cfRule>
          <xm:sqref>C172</xm:sqref>
        </x14:conditionalFormatting>
      </x14:conditionalFormattings>
    </ext>
    <ext xmlns:x14="http://schemas.microsoft.com/office/spreadsheetml/2009/9/main" uri="{CCE6A557-97BC-4b89-ADB6-D9C93CAAB3DF}">
      <x14:dataValidations xmlns:xm="http://schemas.microsoft.com/office/excel/2006/main" count="12">
        <x14:dataValidation type="list" allowBlank="1" showInputMessage="1" showErrorMessage="1" xr:uid="{8E3BB70A-011B-4665-9420-87F3F6E07CE9}">
          <x14:formula1>
            <xm:f>'Base Costs'!$A$39:$A$53</xm:f>
          </x14:formula1>
          <xm:sqref>D14 D150 D133 D167 D31 D99 D48 D82 D65 D116</xm:sqref>
        </x14:dataValidation>
        <x14:dataValidation type="list" allowBlank="1" showInputMessage="1" showErrorMessage="1" xr:uid="{EF27B5A6-904B-4FD0-AA9E-04A227A6D81D}">
          <x14:formula1>
            <xm:f>CCBASE!$A$53:$A$73</xm:f>
          </x14:formula1>
          <xm:sqref>C52 C69 C18 C35 C103 C86 C120 C154 C137 C171</xm:sqref>
        </x14:dataValidation>
        <x14:dataValidation type="list" allowBlank="1" showInputMessage="1" showErrorMessage="1" xr:uid="{170A87DC-F9E5-4247-97C0-398DCAC1E549}">
          <x14:formula1>
            <xm:f>CCBASE!$A$81:$A$85</xm:f>
          </x14:formula1>
          <xm:sqref>C25 C42 C93 C76 C59 C110 C127 C144 C161 C178</xm:sqref>
        </x14:dataValidation>
        <x14:dataValidation type="list" allowBlank="1" showInputMessage="1" showErrorMessage="1" xr:uid="{7EAD99DE-62C9-4387-AD1C-4C3F5C2BFD45}">
          <x14:formula1>
            <xm:f>'Base Costs'!$A$32:$A$37</xm:f>
          </x14:formula1>
          <xm:sqref>B9</xm:sqref>
        </x14:dataValidation>
        <x14:dataValidation type="list" allowBlank="1" showInputMessage="1" showErrorMessage="1" xr:uid="{C6E344F8-5E00-46E7-A7B1-69CA07E34777}">
          <x14:formula1>
            <xm:f>'Base Costs'!$E$4:$E$213</xm:f>
          </x14:formula1>
          <xm:sqref>D183 D186</xm:sqref>
        </x14:dataValidation>
        <x14:dataValidation type="list" allowBlank="1" showInputMessage="1" showErrorMessage="1" xr:uid="{8B624E54-A610-4F5F-8E5F-0779D220602E}">
          <x14:formula1>
            <xm:f>'Base Costs'!$A$4:$A$16</xm:f>
          </x14:formula1>
          <xm:sqref>D184:D185</xm:sqref>
        </x14:dataValidation>
        <x14:dataValidation type="list" allowBlank="1" showInputMessage="1" showErrorMessage="1" xr:uid="{BB1290A8-DC90-436E-91A9-462B3DAB662D}">
          <x14:formula1>
            <xm:f>'Base Costs'!$A$19:$A$22</xm:f>
          </x14:formula1>
          <xm:sqref>C19 C138 C155 C172 C36 C87 C70 C53 C104 C121</xm:sqref>
        </x14:dataValidation>
        <x14:dataValidation type="list" allowBlank="1" showInputMessage="1" showErrorMessage="1" xr:uid="{C0F05A1B-8B68-4647-98AF-03C9F714CC8B}">
          <x14:formula1>
            <xm:f>'Base Costs'!$Q$35:$Q$45</xm:f>
          </x14:formula1>
          <xm:sqref>C43 C145 C162 C179 C60 C77 C94 C111 C26 C128</xm:sqref>
        </x14:dataValidation>
        <x14:dataValidation type="list" allowBlank="1" showInputMessage="1" showErrorMessage="1" xr:uid="{E07EA41F-9D8F-400D-AB93-D001A9EFC28B}">
          <x14:formula1>
            <xm:f>'Base Costs'!$U$4:$U$41</xm:f>
          </x14:formula1>
          <xm:sqref>C33 C152 C135 C169 C16 C101 C84 C67 C50 C118</xm:sqref>
        </x14:dataValidation>
        <x14:dataValidation type="list" allowBlank="1" showInputMessage="1" showErrorMessage="1" xr:uid="{82F077B8-85AA-46B9-A346-56C00C4CE3E9}">
          <x14:formula1>
            <xm:f>'Base Costs'!$U$44:$U$56</xm:f>
          </x14:formula1>
          <xm:sqref>C17 C170 C153 C136 C119 C102 C85 C68 C51 C34</xm:sqref>
        </x14:dataValidation>
        <x14:dataValidation type="list" allowBlank="1" showInputMessage="1" showErrorMessage="1" xr:uid="{E09FC5A1-3DBB-46DC-B8E4-B11662B18C61}">
          <x14:formula1>
            <xm:f>'Base Costs'!$M$4:$M$23</xm:f>
          </x14:formula1>
          <xm:sqref>C15</xm:sqref>
        </x14:dataValidation>
        <x14:dataValidation type="list" allowBlank="1" showInputMessage="1" showErrorMessage="1" xr:uid="{6562BB6D-2EDC-4D8D-8A92-B817651CBD5C}">
          <x14:formula1>
            <xm:f>'Base Costs'!$M$4:$M$21</xm:f>
          </x14:formula1>
          <xm:sqref>C32 C117 C83 C66 C49 C100 C168 C134 C151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26</vt:i4>
      </vt:variant>
    </vt:vector>
  </HeadingPairs>
  <TitlesOfParts>
    <vt:vector size="49" baseType="lpstr">
      <vt:lpstr>JOB TOTAL</vt:lpstr>
      <vt:lpstr>Quote Price Schedule</vt:lpstr>
      <vt:lpstr>SPIRAL DUCT</vt:lpstr>
      <vt:lpstr>SUPPLY DUCT </vt:lpstr>
      <vt:lpstr>EXTRACT DUCT</vt:lpstr>
      <vt:lpstr>AHU TEST</vt:lpstr>
      <vt:lpstr>CONTRACT</vt:lpstr>
      <vt:lpstr>CANOPY</vt:lpstr>
      <vt:lpstr>FIRE SUPPRESSION</vt:lpstr>
      <vt:lpstr>SDU</vt:lpstr>
      <vt:lpstr>SDU (2)</vt:lpstr>
      <vt:lpstr>VENT CLG</vt:lpstr>
      <vt:lpstr>MARVEL</vt:lpstr>
      <vt:lpstr>EDGE BOX</vt:lpstr>
      <vt:lpstr>AEROLYS</vt:lpstr>
      <vt:lpstr>POLLUSTOP</vt:lpstr>
      <vt:lpstr>POLLU-LITE</vt:lpstr>
      <vt:lpstr>RECOAIR</vt:lpstr>
      <vt:lpstr>REACTAWAY </vt:lpstr>
      <vt:lpstr>INFECTAWAY</vt:lpstr>
      <vt:lpstr>Base Costs</vt:lpstr>
      <vt:lpstr>CC</vt:lpstr>
      <vt:lpstr>CCBASE</vt:lpstr>
      <vt:lpstr>FanSize</vt:lpstr>
      <vt:lpstr>AEROLYS!Print_Area</vt:lpstr>
      <vt:lpstr>'AHU TEST'!Print_Area</vt:lpstr>
      <vt:lpstr>CANOPY!Print_Area</vt:lpstr>
      <vt:lpstr>CONTRACT!Print_Area</vt:lpstr>
      <vt:lpstr>'EDGE BOX'!Print_Area</vt:lpstr>
      <vt:lpstr>'FIRE SUPPRESSION'!Print_Area</vt:lpstr>
      <vt:lpstr>INFECTAWAY!Print_Area</vt:lpstr>
      <vt:lpstr>'JOB TOTAL'!Print_Area</vt:lpstr>
      <vt:lpstr>MARVEL!Print_Area</vt:lpstr>
      <vt:lpstr>'POLLU-LITE'!Print_Area</vt:lpstr>
      <vt:lpstr>POLLUSTOP!Print_Area</vt:lpstr>
      <vt:lpstr>'REACTAWAY '!Print_Area</vt:lpstr>
      <vt:lpstr>RECOAIR!Print_Area</vt:lpstr>
      <vt:lpstr>SDU!Print_Area</vt:lpstr>
      <vt:lpstr>'SDU (2)'!Print_Area</vt:lpstr>
      <vt:lpstr>'VENT CLG'!Print_Area</vt:lpstr>
      <vt:lpstr>CANOPY!SELECTPLANTHIRE</vt:lpstr>
      <vt:lpstr>'EDGE BOX'!SELECTPLANTHIRE</vt:lpstr>
      <vt:lpstr>'FIRE SUPPRESSION'!SELECTPLANTHIRE</vt:lpstr>
      <vt:lpstr>INFECTAWAY!SELECTPLANTHIRE</vt:lpstr>
      <vt:lpstr>'JOB TOTAL'!SELECTPLANTHIRE</vt:lpstr>
      <vt:lpstr>'POLLU-LITE'!SELECTPLANTHIRE</vt:lpstr>
      <vt:lpstr>'REACTAWAY '!SELECTPLANTHIRE</vt:lpstr>
      <vt:lpstr>RECOAIR!SELECTPLANTHIRE</vt:lpstr>
      <vt:lpstr>SIZE</vt:lpstr>
    </vt:vector>
  </TitlesOfParts>
  <Manager>Craig Gould</Manager>
  <Company>Halton Foodservice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Sheet 2015</dc:title>
  <dc:subject>Costings</dc:subject>
  <dc:creator>Ian.Horton</dc:creator>
  <cp:lastModifiedBy>Yazan Hunjul</cp:lastModifiedBy>
  <cp:lastPrinted>2025-01-17T13:05:00Z</cp:lastPrinted>
  <dcterms:created xsi:type="dcterms:W3CDTF">2003-10-29T13:39:35Z</dcterms:created>
  <dcterms:modified xsi:type="dcterms:W3CDTF">2025-09-26T10:04:39Z</dcterms:modified>
  <dc:language>English</dc:language>
  <cp:version>2015</cp:version>
</cp:coreProperties>
</file>